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C:\Users\Asus\Downloads\"/>
    </mc:Choice>
  </mc:AlternateContent>
  <xr:revisionPtr revIDLastSave="0" documentId="13_ncr:1_{2E3F4D74-B852-4CCE-B69D-ADCE937E7A80}" xr6:coauthVersionLast="47" xr6:coauthVersionMax="47" xr10:uidLastSave="{00000000-0000-0000-0000-000000000000}"/>
  <bookViews>
    <workbookView xWindow="-120" yWindow="-120" windowWidth="20730" windowHeight="11040" xr2:uid="{00000000-000D-0000-FFFF-FFFF00000000}"/>
  </bookViews>
  <sheets>
    <sheet name="CALK Umum" sheetId="5" r:id="rId1"/>
    <sheet name="CALK" sheetId="6" r:id="rId2"/>
  </sheets>
  <externalReferences>
    <externalReference r:id="rId3"/>
  </externalReferenc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32" i="6" l="1"/>
  <c r="S32" i="6" s="1"/>
  <c r="P31" i="6"/>
  <c r="S31" i="6" s="1"/>
  <c r="E33" i="6"/>
  <c r="E38" i="6" s="1"/>
  <c r="K33" i="6"/>
  <c r="K38" i="6" s="1"/>
  <c r="L21" i="6"/>
  <c r="Q13" i="6"/>
  <c r="Q14" i="6"/>
  <c r="Q16" i="6"/>
  <c r="Q17" i="6"/>
  <c r="Q18" i="6"/>
  <c r="Q19" i="6"/>
  <c r="Q20" i="6"/>
  <c r="L12" i="6"/>
  <c r="L15" i="6" s="1"/>
  <c r="L22" i="6" s="1"/>
  <c r="G15" i="6"/>
  <c r="G21" i="6"/>
  <c r="P33" i="6" l="1"/>
  <c r="Q21" i="6"/>
  <c r="Q12" i="6"/>
  <c r="Q15" i="6"/>
  <c r="G22" i="6"/>
  <c r="Q22" i="6" s="1"/>
  <c r="P38" i="6" l="1"/>
  <c r="S38" i="6" s="1"/>
  <c r="S33" i="6"/>
  <c r="L2423" i="5" l="1"/>
  <c r="J2422" i="5"/>
  <c r="J2418" i="5"/>
  <c r="L2417" i="5"/>
  <c r="B2415" i="5"/>
  <c r="B2414" i="5"/>
  <c r="B2413" i="5"/>
  <c r="P2337" i="5"/>
  <c r="P2336" i="5" s="1"/>
  <c r="C2337" i="5"/>
  <c r="P2333" i="5"/>
  <c r="C2333" i="5"/>
  <c r="P2332" i="5"/>
  <c r="C2332" i="5"/>
  <c r="P2330" i="5"/>
  <c r="P2329" i="5" s="1"/>
  <c r="C2330" i="5"/>
  <c r="C2328" i="5"/>
  <c r="C2323" i="5"/>
  <c r="B2322" i="5"/>
  <c r="C2320" i="5"/>
  <c r="C2318" i="5"/>
  <c r="C2317" i="5"/>
  <c r="C2314" i="5"/>
  <c r="D2311" i="5"/>
  <c r="D2309" i="5"/>
  <c r="C2302" i="5"/>
  <c r="L2298" i="5"/>
  <c r="L2297" i="5"/>
  <c r="L2299" i="5" s="1"/>
  <c r="D2295" i="5"/>
  <c r="L2289" i="5"/>
  <c r="L2288" i="5"/>
  <c r="L2287" i="5"/>
  <c r="L2286" i="5"/>
  <c r="D2284" i="5"/>
  <c r="L2278" i="5"/>
  <c r="L2277" i="5"/>
  <c r="L2276" i="5"/>
  <c r="L2275" i="5"/>
  <c r="D2273" i="5"/>
  <c r="D2272" i="5"/>
  <c r="L2266" i="5"/>
  <c r="L2267" i="5" s="1"/>
  <c r="D2263" i="5"/>
  <c r="D2261" i="5"/>
  <c r="L2256" i="5"/>
  <c r="L2255" i="5"/>
  <c r="L2254" i="5"/>
  <c r="L2253" i="5"/>
  <c r="L2252" i="5"/>
  <c r="D2250" i="5"/>
  <c r="D2248" i="5"/>
  <c r="L2240" i="5"/>
  <c r="L2239" i="5"/>
  <c r="D2237" i="5"/>
  <c r="D2235" i="5"/>
  <c r="L2230" i="5"/>
  <c r="L2229" i="5"/>
  <c r="D2227" i="5"/>
  <c r="D2225" i="5"/>
  <c r="P2220" i="5"/>
  <c r="P2218" i="5" s="1"/>
  <c r="P2219" i="5"/>
  <c r="P2217" i="5"/>
  <c r="P2216" i="5"/>
  <c r="P2215" i="5"/>
  <c r="P2214" i="5"/>
  <c r="P2212" i="5"/>
  <c r="P2211" i="5" s="1"/>
  <c r="P2210" i="5"/>
  <c r="P2209" i="5" s="1"/>
  <c r="P2208" i="5"/>
  <c r="P2207" i="5"/>
  <c r="P2206" i="5" s="1"/>
  <c r="P2205" i="5"/>
  <c r="P2204" i="5"/>
  <c r="P2203" i="5"/>
  <c r="P2202" i="5"/>
  <c r="P2201" i="5"/>
  <c r="P2200" i="5"/>
  <c r="P2199" i="5"/>
  <c r="P2198" i="5"/>
  <c r="P2197" i="5"/>
  <c r="P2196" i="5"/>
  <c r="P2195" i="5"/>
  <c r="P2194" i="5" s="1"/>
  <c r="P2193" i="5"/>
  <c r="P2192" i="5"/>
  <c r="P2191" i="5"/>
  <c r="P2190" i="5"/>
  <c r="P2189" i="5"/>
  <c r="P2188" i="5"/>
  <c r="P2186" i="5"/>
  <c r="P2185" i="5"/>
  <c r="P2184" i="5"/>
  <c r="P2183" i="5"/>
  <c r="P2182" i="5"/>
  <c r="P2180" i="5" s="1"/>
  <c r="P2181" i="5"/>
  <c r="P2179" i="5"/>
  <c r="P2178" i="5"/>
  <c r="P2177" i="5"/>
  <c r="P2176" i="5"/>
  <c r="P2175" i="5"/>
  <c r="P2174" i="5"/>
  <c r="P2173" i="5"/>
  <c r="P2172" i="5"/>
  <c r="P2171" i="5"/>
  <c r="P2170" i="5"/>
  <c r="P2168" i="5" s="1"/>
  <c r="P2169" i="5"/>
  <c r="P2167" i="5"/>
  <c r="P2166" i="5"/>
  <c r="P2165" i="5" s="1"/>
  <c r="P2164" i="5"/>
  <c r="P2163" i="5"/>
  <c r="P2162" i="5"/>
  <c r="P2161" i="5"/>
  <c r="P2160" i="5"/>
  <c r="P2159" i="5"/>
  <c r="P2158" i="5"/>
  <c r="P2157" i="5"/>
  <c r="P2156" i="5" s="1"/>
  <c r="P2155" i="5"/>
  <c r="P2154" i="5"/>
  <c r="P2153" i="5" s="1"/>
  <c r="P2152" i="5"/>
  <c r="P2151" i="5"/>
  <c r="P2150" i="5"/>
  <c r="P2149" i="5"/>
  <c r="P2148" i="5"/>
  <c r="P2147" i="5"/>
  <c r="P2146" i="5"/>
  <c r="P2145" i="5"/>
  <c r="P2144" i="5"/>
  <c r="P2143" i="5"/>
  <c r="P2142" i="5"/>
  <c r="P2141" i="5"/>
  <c r="P2140" i="5"/>
  <c r="P2139" i="5"/>
  <c r="P2138" i="5"/>
  <c r="P2137" i="5"/>
  <c r="P2136" i="5"/>
  <c r="P2135" i="5"/>
  <c r="P2134" i="5"/>
  <c r="P2133" i="5"/>
  <c r="P2132" i="5"/>
  <c r="P2131" i="5"/>
  <c r="P2130" i="5"/>
  <c r="P2129" i="5"/>
  <c r="P2128" i="5"/>
  <c r="P2127" i="5"/>
  <c r="P2126" i="5"/>
  <c r="P2125" i="5"/>
  <c r="P2124" i="5"/>
  <c r="P2123" i="5"/>
  <c r="P2122" i="5"/>
  <c r="P2121" i="5"/>
  <c r="P2120" i="5"/>
  <c r="P2119" i="5"/>
  <c r="P2118" i="5"/>
  <c r="P2117" i="5"/>
  <c r="P2116" i="5"/>
  <c r="P2114" i="5" s="1"/>
  <c r="P2115" i="5"/>
  <c r="D2112" i="5"/>
  <c r="D2110" i="5"/>
  <c r="P2104" i="5"/>
  <c r="P2103" i="5"/>
  <c r="P2102" i="5"/>
  <c r="P2101" i="5"/>
  <c r="P2100" i="5"/>
  <c r="P2099" i="5"/>
  <c r="P2098" i="5"/>
  <c r="P2097" i="5"/>
  <c r="P2096" i="5"/>
  <c r="P2095" i="5"/>
  <c r="P2094" i="5"/>
  <c r="P2093" i="5"/>
  <c r="P2092" i="5"/>
  <c r="P2091" i="5"/>
  <c r="P2090" i="5"/>
  <c r="P2089" i="5"/>
  <c r="P2088" i="5" s="1"/>
  <c r="P2085" i="5"/>
  <c r="P2084" i="5" s="1"/>
  <c r="P2083" i="5"/>
  <c r="P2082" i="5"/>
  <c r="P2081" i="5"/>
  <c r="P2080" i="5"/>
  <c r="P2079" i="5"/>
  <c r="P2078" i="5"/>
  <c r="P2077" i="5"/>
  <c r="P2076" i="5"/>
  <c r="P2075" i="5"/>
  <c r="P2074" i="5"/>
  <c r="P2073" i="5"/>
  <c r="D2071" i="5"/>
  <c r="D2069" i="5"/>
  <c r="P2064" i="5"/>
  <c r="P2063" i="5"/>
  <c r="P2062" i="5"/>
  <c r="P2061" i="5"/>
  <c r="P2059" i="5"/>
  <c r="P2058" i="5"/>
  <c r="P2057" i="5" s="1"/>
  <c r="P2056" i="5"/>
  <c r="P2055" i="5"/>
  <c r="P2053" i="5"/>
  <c r="P2052" i="5"/>
  <c r="P2051" i="5"/>
  <c r="P2050" i="5"/>
  <c r="P2049" i="5"/>
  <c r="P2048" i="5"/>
  <c r="P2047" i="5"/>
  <c r="P2046" i="5"/>
  <c r="P2045" i="5"/>
  <c r="P2043" i="5"/>
  <c r="P2042" i="5"/>
  <c r="P2041" i="5"/>
  <c r="P2040" i="5"/>
  <c r="P2039" i="5"/>
  <c r="P2038" i="5"/>
  <c r="P2037" i="5"/>
  <c r="P2036" i="5"/>
  <c r="O2036" i="5"/>
  <c r="P2035" i="5"/>
  <c r="O2035" i="5"/>
  <c r="P2034" i="5"/>
  <c r="P2033" i="5"/>
  <c r="P2032" i="5"/>
  <c r="P2031" i="5" s="1"/>
  <c r="P2030" i="5"/>
  <c r="P2029" i="5" s="1"/>
  <c r="P2028" i="5"/>
  <c r="P2027" i="5"/>
  <c r="P2026" i="5"/>
  <c r="P2025" i="5"/>
  <c r="P2023" i="5"/>
  <c r="P2022" i="5" s="1"/>
  <c r="P2021" i="5"/>
  <c r="P2020" i="5"/>
  <c r="P2019" i="5"/>
  <c r="P2018" i="5"/>
  <c r="P2017" i="5"/>
  <c r="P2016" i="5"/>
  <c r="P2015" i="5"/>
  <c r="P2014" i="5"/>
  <c r="P2013" i="5"/>
  <c r="P2012" i="5"/>
  <c r="P2011" i="5"/>
  <c r="P2010" i="5"/>
  <c r="P2009" i="5"/>
  <c r="P2008" i="5"/>
  <c r="P2007" i="5"/>
  <c r="P2006" i="5"/>
  <c r="P2005" i="5"/>
  <c r="P2004" i="5"/>
  <c r="P2003" i="5"/>
  <c r="P2002" i="5"/>
  <c r="P2001" i="5"/>
  <c r="P2000" i="5" s="1"/>
  <c r="D1998" i="5"/>
  <c r="P1992" i="5"/>
  <c r="J1992" i="5"/>
  <c r="P1991" i="5"/>
  <c r="AC1991" i="5" s="1"/>
  <c r="J1991" i="5"/>
  <c r="P1990" i="5"/>
  <c r="J1990" i="5"/>
  <c r="Y1990" i="5" s="1"/>
  <c r="P1989" i="5"/>
  <c r="J1989" i="5"/>
  <c r="P1988" i="5"/>
  <c r="AC1988" i="5" s="1"/>
  <c r="J1988" i="5"/>
  <c r="P1987" i="5"/>
  <c r="J1987" i="5"/>
  <c r="AC1986" i="5"/>
  <c r="P1986" i="5"/>
  <c r="J1986" i="5"/>
  <c r="Y1986" i="5" s="1"/>
  <c r="P1985" i="5"/>
  <c r="J1985" i="5"/>
  <c r="P1984" i="5"/>
  <c r="J1984" i="5"/>
  <c r="P1983" i="5"/>
  <c r="AC1983" i="5" s="1"/>
  <c r="J1983" i="5"/>
  <c r="P1982" i="5"/>
  <c r="J1982" i="5"/>
  <c r="AC1982" i="5" s="1"/>
  <c r="P1981" i="5"/>
  <c r="J1981" i="5"/>
  <c r="C1979" i="5"/>
  <c r="P1972" i="5"/>
  <c r="P1971" i="5"/>
  <c r="P1970" i="5"/>
  <c r="P1969" i="5"/>
  <c r="P1968" i="5"/>
  <c r="P1967" i="5"/>
  <c r="P1966" i="5"/>
  <c r="P1965" i="5"/>
  <c r="P1964" i="5"/>
  <c r="P1963" i="5"/>
  <c r="P1962" i="5"/>
  <c r="P1961" i="5"/>
  <c r="P1960" i="5"/>
  <c r="P1959" i="5"/>
  <c r="P1958" i="5"/>
  <c r="P1957" i="5"/>
  <c r="P1956" i="5"/>
  <c r="D1954" i="5"/>
  <c r="O1951" i="5"/>
  <c r="I1951" i="5"/>
  <c r="O1950" i="5"/>
  <c r="I1950" i="5"/>
  <c r="O1949" i="5"/>
  <c r="I1949" i="5"/>
  <c r="D1946" i="5"/>
  <c r="P1942" i="5"/>
  <c r="P1941" i="5"/>
  <c r="P1940" i="5"/>
  <c r="P1939" i="5"/>
  <c r="P1938" i="5"/>
  <c r="P1937" i="5"/>
  <c r="P1936" i="5"/>
  <c r="P1935" i="5"/>
  <c r="P1934" i="5"/>
  <c r="P1933" i="5"/>
  <c r="P1932" i="5"/>
  <c r="P1931" i="5"/>
  <c r="P1930" i="5"/>
  <c r="P1929" i="5"/>
  <c r="P1928" i="5"/>
  <c r="P1927" i="5"/>
  <c r="P1926" i="5"/>
  <c r="P1925" i="5"/>
  <c r="P1924" i="5"/>
  <c r="P1923" i="5"/>
  <c r="P1922" i="5"/>
  <c r="P1921" i="5"/>
  <c r="P1920" i="5"/>
  <c r="P1919" i="5"/>
  <c r="P1918" i="5"/>
  <c r="P1917" i="5"/>
  <c r="P1916" i="5"/>
  <c r="P1915" i="5"/>
  <c r="P1914" i="5"/>
  <c r="P1913" i="5"/>
  <c r="P1912" i="5"/>
  <c r="P1911" i="5"/>
  <c r="P1910" i="5"/>
  <c r="P1909" i="5"/>
  <c r="P1908" i="5"/>
  <c r="P1907" i="5"/>
  <c r="P1906" i="5"/>
  <c r="P1905" i="5"/>
  <c r="P1904" i="5"/>
  <c r="P1903" i="5"/>
  <c r="P1902" i="5"/>
  <c r="P1901" i="5"/>
  <c r="P1899" i="5"/>
  <c r="P1898" i="5"/>
  <c r="P1897" i="5"/>
  <c r="P1896" i="5"/>
  <c r="D1894" i="5"/>
  <c r="AC1893" i="5"/>
  <c r="Y1893" i="5"/>
  <c r="AC1892" i="5"/>
  <c r="Y1892" i="5"/>
  <c r="O1892" i="5"/>
  <c r="I1892" i="5"/>
  <c r="AC1891" i="5"/>
  <c r="Y1891" i="5"/>
  <c r="O1891" i="5"/>
  <c r="I1891" i="5"/>
  <c r="AC1890" i="5"/>
  <c r="Y1890" i="5"/>
  <c r="O1890" i="5"/>
  <c r="O1893" i="5" s="1"/>
  <c r="I1890" i="5"/>
  <c r="I1893" i="5" s="1"/>
  <c r="I1889" i="5"/>
  <c r="D1887" i="5"/>
  <c r="O1885" i="5"/>
  <c r="D1880" i="5"/>
  <c r="P1878" i="5"/>
  <c r="P1877" i="5"/>
  <c r="P1876" i="5"/>
  <c r="P1875" i="5"/>
  <c r="P1874" i="5"/>
  <c r="P1873" i="5"/>
  <c r="P1872" i="5"/>
  <c r="P1871" i="5"/>
  <c r="P1870" i="5"/>
  <c r="P1869" i="5"/>
  <c r="P1868" i="5"/>
  <c r="P1867" i="5"/>
  <c r="P1866" i="5"/>
  <c r="P1865" i="5"/>
  <c r="P1864" i="5"/>
  <c r="P1863" i="5"/>
  <c r="P1862" i="5"/>
  <c r="P1861" i="5"/>
  <c r="P1860" i="5"/>
  <c r="P1859" i="5"/>
  <c r="P1858" i="5"/>
  <c r="P1857" i="5"/>
  <c r="P1856" i="5"/>
  <c r="P1855" i="5"/>
  <c r="P1854" i="5"/>
  <c r="P1853" i="5"/>
  <c r="P1852" i="5"/>
  <c r="P1851" i="5"/>
  <c r="P1850" i="5"/>
  <c r="P1849" i="5"/>
  <c r="P1848" i="5"/>
  <c r="P1847" i="5"/>
  <c r="P1846" i="5"/>
  <c r="P1845" i="5"/>
  <c r="P1844" i="5"/>
  <c r="P1843" i="5"/>
  <c r="P1842" i="5"/>
  <c r="P1841" i="5"/>
  <c r="P1840" i="5"/>
  <c r="P1839" i="5"/>
  <c r="P1838" i="5"/>
  <c r="P1837" i="5"/>
  <c r="P1836" i="5"/>
  <c r="P1835" i="5"/>
  <c r="P1834" i="5"/>
  <c r="P1833" i="5"/>
  <c r="P1832" i="5"/>
  <c r="P1831" i="5"/>
  <c r="P1830" i="5"/>
  <c r="P1829" i="5"/>
  <c r="P1828" i="5"/>
  <c r="P1827" i="5"/>
  <c r="P1826" i="5"/>
  <c r="P1825" i="5"/>
  <c r="P1824" i="5"/>
  <c r="P1823" i="5"/>
  <c r="P1822" i="5"/>
  <c r="P1821" i="5"/>
  <c r="P1820" i="5"/>
  <c r="P1819" i="5"/>
  <c r="P1818" i="5"/>
  <c r="P1817" i="5"/>
  <c r="P1816" i="5"/>
  <c r="P1815" i="5"/>
  <c r="P1814" i="5"/>
  <c r="P1813" i="5"/>
  <c r="P1812" i="5"/>
  <c r="P1811" i="5"/>
  <c r="P1810" i="5"/>
  <c r="P1809" i="5"/>
  <c r="P1808" i="5"/>
  <c r="P1807" i="5"/>
  <c r="P1806" i="5"/>
  <c r="P1805" i="5"/>
  <c r="P1804" i="5"/>
  <c r="P1803" i="5"/>
  <c r="D1801" i="5"/>
  <c r="P1798" i="5"/>
  <c r="J1798" i="5"/>
  <c r="P1797" i="5"/>
  <c r="J1797" i="5"/>
  <c r="P1796" i="5"/>
  <c r="J1796" i="5"/>
  <c r="P1795" i="5"/>
  <c r="P1799" i="5" s="1"/>
  <c r="J1795" i="5"/>
  <c r="J1799" i="5" s="1"/>
  <c r="P1794" i="5"/>
  <c r="J1794" i="5"/>
  <c r="D1792" i="5"/>
  <c r="C1790" i="5"/>
  <c r="M1787" i="5"/>
  <c r="G1787" i="5"/>
  <c r="M1786" i="5"/>
  <c r="G1786" i="5"/>
  <c r="M1785" i="5"/>
  <c r="M1788" i="5" s="1"/>
  <c r="G1785" i="5"/>
  <c r="G1788" i="5" s="1"/>
  <c r="M1784" i="5"/>
  <c r="O1889" i="5" s="1"/>
  <c r="G1784" i="5"/>
  <c r="J1980" i="5" s="1"/>
  <c r="C1783" i="5"/>
  <c r="C1780" i="5"/>
  <c r="C1778" i="5"/>
  <c r="C1774" i="5"/>
  <c r="O1768" i="5"/>
  <c r="L1768" i="5"/>
  <c r="I1768" i="5"/>
  <c r="F1768" i="5"/>
  <c r="B1768" i="5"/>
  <c r="A1768" i="5"/>
  <c r="O1767" i="5"/>
  <c r="L1767" i="5"/>
  <c r="I1767" i="5"/>
  <c r="F1767" i="5"/>
  <c r="B1767" i="5"/>
  <c r="A1767" i="5"/>
  <c r="O1766" i="5"/>
  <c r="L1766" i="5"/>
  <c r="I1766" i="5"/>
  <c r="I1769" i="5" s="1"/>
  <c r="F1766" i="5"/>
  <c r="B1766" i="5"/>
  <c r="A1766" i="5"/>
  <c r="O1765" i="5"/>
  <c r="L1765" i="5"/>
  <c r="I1765" i="5"/>
  <c r="F1765" i="5"/>
  <c r="B1765" i="5"/>
  <c r="A1765" i="5"/>
  <c r="O1764" i="5"/>
  <c r="L1764" i="5"/>
  <c r="I1764" i="5"/>
  <c r="F1764" i="5"/>
  <c r="B1764" i="5"/>
  <c r="A1764" i="5"/>
  <c r="O1756" i="5"/>
  <c r="L1756" i="5"/>
  <c r="I1756" i="5"/>
  <c r="F1756" i="5"/>
  <c r="B1756" i="5"/>
  <c r="A1756" i="5"/>
  <c r="O1755" i="5"/>
  <c r="L1755" i="5"/>
  <c r="I1755" i="5"/>
  <c r="F1755" i="5"/>
  <c r="B1755" i="5"/>
  <c r="A1755" i="5"/>
  <c r="O1754" i="5"/>
  <c r="L1754" i="5"/>
  <c r="I1754" i="5"/>
  <c r="F1754" i="5"/>
  <c r="B1754" i="5"/>
  <c r="A1754" i="5"/>
  <c r="O1753" i="5"/>
  <c r="L1753" i="5"/>
  <c r="I1753" i="5"/>
  <c r="F1753" i="5"/>
  <c r="R1753" i="5" s="1"/>
  <c r="B1753" i="5"/>
  <c r="A1753" i="5"/>
  <c r="O1752" i="5"/>
  <c r="L1752" i="5"/>
  <c r="I1752" i="5"/>
  <c r="F1752" i="5"/>
  <c r="B1752" i="5"/>
  <c r="A1752" i="5"/>
  <c r="O1751" i="5"/>
  <c r="O1757" i="5" s="1"/>
  <c r="L1751" i="5"/>
  <c r="I1751" i="5"/>
  <c r="F1751" i="5"/>
  <c r="B1751" i="5"/>
  <c r="A1751" i="5"/>
  <c r="O1743" i="5"/>
  <c r="L1743" i="5"/>
  <c r="I1743" i="5"/>
  <c r="F1743" i="5"/>
  <c r="B1743" i="5"/>
  <c r="A1743" i="5"/>
  <c r="O1742" i="5"/>
  <c r="L1742" i="5"/>
  <c r="I1742" i="5"/>
  <c r="F1742" i="5"/>
  <c r="B1742" i="5"/>
  <c r="A1742" i="5"/>
  <c r="O1741" i="5"/>
  <c r="L1741" i="5"/>
  <c r="I1741" i="5"/>
  <c r="F1741" i="5"/>
  <c r="B1741" i="5"/>
  <c r="A1741" i="5"/>
  <c r="O1740" i="5"/>
  <c r="L1740" i="5"/>
  <c r="I1740" i="5"/>
  <c r="F1740" i="5"/>
  <c r="R1740" i="5" s="1"/>
  <c r="B1740" i="5"/>
  <c r="A1740" i="5"/>
  <c r="O1731" i="5"/>
  <c r="L1731" i="5"/>
  <c r="I1731" i="5"/>
  <c r="F1731" i="5"/>
  <c r="B1731" i="5"/>
  <c r="A1731" i="5"/>
  <c r="O1730" i="5"/>
  <c r="L1730" i="5"/>
  <c r="I1730" i="5"/>
  <c r="F1730" i="5"/>
  <c r="B1730" i="5"/>
  <c r="A1730" i="5"/>
  <c r="O1729" i="5"/>
  <c r="L1729" i="5"/>
  <c r="I1729" i="5"/>
  <c r="F1729" i="5"/>
  <c r="B1729" i="5"/>
  <c r="A1729" i="5"/>
  <c r="O1728" i="5"/>
  <c r="L1728" i="5"/>
  <c r="I1728" i="5"/>
  <c r="F1728" i="5"/>
  <c r="B1728" i="5"/>
  <c r="A1728" i="5"/>
  <c r="O1727" i="5"/>
  <c r="L1727" i="5"/>
  <c r="I1727" i="5"/>
  <c r="F1727" i="5"/>
  <c r="B1727" i="5"/>
  <c r="A1727" i="5"/>
  <c r="C1720" i="5"/>
  <c r="O1715" i="5"/>
  <c r="L1715" i="5"/>
  <c r="I1715" i="5"/>
  <c r="F1715" i="5"/>
  <c r="B1715" i="5"/>
  <c r="A1715" i="5"/>
  <c r="O1714" i="5"/>
  <c r="L1714" i="5"/>
  <c r="I1714" i="5"/>
  <c r="F1714" i="5"/>
  <c r="R1714" i="5" s="1"/>
  <c r="B1714" i="5"/>
  <c r="A1714" i="5"/>
  <c r="O1713" i="5"/>
  <c r="L1713" i="5"/>
  <c r="I1713" i="5"/>
  <c r="F1713" i="5"/>
  <c r="B1713" i="5"/>
  <c r="A1713" i="5"/>
  <c r="O1712" i="5"/>
  <c r="L1712" i="5"/>
  <c r="I1712" i="5"/>
  <c r="F1712" i="5"/>
  <c r="R1712" i="5" s="1"/>
  <c r="Y1712" i="5" s="1"/>
  <c r="B1712" i="5"/>
  <c r="A1712" i="5"/>
  <c r="O1711" i="5"/>
  <c r="O1716" i="5" s="1"/>
  <c r="L1711" i="5"/>
  <c r="I1711" i="5"/>
  <c r="F1711" i="5"/>
  <c r="B1711" i="5"/>
  <c r="R1711" i="5" s="1"/>
  <c r="AC1711" i="5" s="1"/>
  <c r="A1711" i="5"/>
  <c r="O1710" i="5"/>
  <c r="L1710" i="5"/>
  <c r="I1710" i="5"/>
  <c r="F1710" i="5"/>
  <c r="B1710" i="5"/>
  <c r="A1710" i="5"/>
  <c r="C1706" i="5"/>
  <c r="O1695" i="5"/>
  <c r="L1695" i="5"/>
  <c r="I1695" i="5"/>
  <c r="F1695" i="5"/>
  <c r="B1695" i="5"/>
  <c r="A1695" i="5"/>
  <c r="O1694" i="5"/>
  <c r="L1694" i="5"/>
  <c r="I1694" i="5"/>
  <c r="F1694" i="5"/>
  <c r="B1694" i="5"/>
  <c r="A1694" i="5"/>
  <c r="O1693" i="5"/>
  <c r="L1693" i="5"/>
  <c r="I1693" i="5"/>
  <c r="F1693" i="5"/>
  <c r="B1693" i="5"/>
  <c r="A1693" i="5"/>
  <c r="O1692" i="5"/>
  <c r="L1692" i="5"/>
  <c r="I1692" i="5"/>
  <c r="F1692" i="5"/>
  <c r="B1692" i="5"/>
  <c r="A1692" i="5"/>
  <c r="O1691" i="5"/>
  <c r="L1691" i="5"/>
  <c r="I1691" i="5"/>
  <c r="F1691" i="5"/>
  <c r="B1691" i="5"/>
  <c r="A1691" i="5"/>
  <c r="O1690" i="5"/>
  <c r="L1690" i="5"/>
  <c r="I1690" i="5"/>
  <c r="F1690" i="5"/>
  <c r="B1690" i="5"/>
  <c r="A1690" i="5"/>
  <c r="O1689" i="5"/>
  <c r="L1689" i="5"/>
  <c r="I1689" i="5"/>
  <c r="I1696" i="5" s="1"/>
  <c r="F1689" i="5"/>
  <c r="B1689" i="5"/>
  <c r="A1689" i="5"/>
  <c r="O1688" i="5"/>
  <c r="L1688" i="5"/>
  <c r="I1688" i="5"/>
  <c r="F1688" i="5"/>
  <c r="B1688" i="5"/>
  <c r="A1688" i="5"/>
  <c r="C1684" i="5"/>
  <c r="N1679" i="5"/>
  <c r="N1678" i="5"/>
  <c r="N1677" i="5"/>
  <c r="N1676" i="5"/>
  <c r="N1675" i="5"/>
  <c r="B1675" i="5"/>
  <c r="B1676" i="5" s="1"/>
  <c r="B1677" i="5" s="1"/>
  <c r="B1678" i="5" s="1"/>
  <c r="B1679" i="5" s="1"/>
  <c r="N1674" i="5"/>
  <c r="C1671" i="5"/>
  <c r="C1669" i="5"/>
  <c r="C1667" i="5"/>
  <c r="O1662" i="5"/>
  <c r="L1662" i="5"/>
  <c r="I1662" i="5"/>
  <c r="F1662" i="5"/>
  <c r="B1662" i="5"/>
  <c r="N1654" i="5"/>
  <c r="N1653" i="5"/>
  <c r="B1653" i="5"/>
  <c r="N1652" i="5"/>
  <c r="B1652" i="5"/>
  <c r="N1651" i="5"/>
  <c r="B1651" i="5"/>
  <c r="N1650" i="5"/>
  <c r="B1650" i="5"/>
  <c r="N1649" i="5"/>
  <c r="B1649" i="5"/>
  <c r="N1648" i="5"/>
  <c r="B1648" i="5"/>
  <c r="B1646" i="5"/>
  <c r="C1645" i="5"/>
  <c r="O1638" i="5"/>
  <c r="L1638" i="5"/>
  <c r="I1638" i="5"/>
  <c r="F1638" i="5"/>
  <c r="C1643" i="5" s="1"/>
  <c r="B1638" i="5"/>
  <c r="O1626" i="5"/>
  <c r="L1626" i="5"/>
  <c r="I1626" i="5"/>
  <c r="F1626" i="5"/>
  <c r="C1629" i="5" s="1"/>
  <c r="B1626" i="5"/>
  <c r="C1622" i="5"/>
  <c r="O1614" i="5"/>
  <c r="L1614" i="5"/>
  <c r="I1614" i="5"/>
  <c r="F1614" i="5"/>
  <c r="B1614" i="5"/>
  <c r="O1603" i="5"/>
  <c r="L1603" i="5"/>
  <c r="I1603" i="5"/>
  <c r="F1603" i="5"/>
  <c r="B1603" i="5"/>
  <c r="C1599" i="5"/>
  <c r="N1589" i="5"/>
  <c r="J1589" i="5"/>
  <c r="N1588" i="5"/>
  <c r="J1588" i="5"/>
  <c r="N1587" i="5"/>
  <c r="J1587" i="5"/>
  <c r="N1586" i="5"/>
  <c r="J1586" i="5"/>
  <c r="B1584" i="5"/>
  <c r="O1581" i="5"/>
  <c r="L1581" i="5"/>
  <c r="I1581" i="5"/>
  <c r="F1581" i="5"/>
  <c r="R1581" i="5" s="1"/>
  <c r="Y1581" i="5" s="1"/>
  <c r="B1581" i="5"/>
  <c r="A1581" i="5"/>
  <c r="C1577" i="5"/>
  <c r="O1570" i="5"/>
  <c r="L1570" i="5"/>
  <c r="I1570" i="5"/>
  <c r="F1570" i="5"/>
  <c r="B1570" i="5"/>
  <c r="C1563" i="5"/>
  <c r="C1565" i="5" s="1"/>
  <c r="O1549" i="5"/>
  <c r="L1549" i="5"/>
  <c r="I1549" i="5"/>
  <c r="F1549" i="5"/>
  <c r="B1549" i="5"/>
  <c r="A1549" i="5"/>
  <c r="C1545" i="5"/>
  <c r="C1543" i="5"/>
  <c r="O1536" i="5"/>
  <c r="L1536" i="5"/>
  <c r="I1536" i="5"/>
  <c r="F1536" i="5"/>
  <c r="B1536" i="5"/>
  <c r="C1532" i="5"/>
  <c r="C1530" i="5"/>
  <c r="O1523" i="5"/>
  <c r="L1523" i="5"/>
  <c r="I1523" i="5"/>
  <c r="C1528" i="5" s="1"/>
  <c r="F1523" i="5"/>
  <c r="B1523" i="5"/>
  <c r="A1523" i="5"/>
  <c r="C1519" i="5"/>
  <c r="C1517" i="5"/>
  <c r="C1514" i="5"/>
  <c r="O1509" i="5"/>
  <c r="L1509" i="5"/>
  <c r="I1509" i="5"/>
  <c r="F1509" i="5"/>
  <c r="C1512" i="5" s="1"/>
  <c r="B1509" i="5"/>
  <c r="C1505" i="5"/>
  <c r="C1503" i="5"/>
  <c r="O1496" i="5"/>
  <c r="L1496" i="5"/>
  <c r="I1496" i="5"/>
  <c r="F1496" i="5"/>
  <c r="C1499" i="5" s="1"/>
  <c r="B1496" i="5"/>
  <c r="C1492" i="5"/>
  <c r="C1490" i="5"/>
  <c r="O1483" i="5"/>
  <c r="L1483" i="5"/>
  <c r="I1483" i="5"/>
  <c r="F1483" i="5"/>
  <c r="C1486" i="5" s="1"/>
  <c r="B1483" i="5"/>
  <c r="C1479" i="5"/>
  <c r="C1476" i="5"/>
  <c r="O1469" i="5"/>
  <c r="L1469" i="5"/>
  <c r="I1469" i="5"/>
  <c r="F1469" i="5"/>
  <c r="R1469" i="5" s="1"/>
  <c r="AC1469" i="5" s="1"/>
  <c r="B1469" i="5"/>
  <c r="C1465" i="5"/>
  <c r="C1463" i="5"/>
  <c r="A1469" i="5" s="1"/>
  <c r="O1456" i="5"/>
  <c r="L1456" i="5"/>
  <c r="I1456" i="5"/>
  <c r="F1456" i="5"/>
  <c r="B1456" i="5"/>
  <c r="A1456" i="5"/>
  <c r="C1452" i="5"/>
  <c r="C1450" i="5"/>
  <c r="O1448" i="5"/>
  <c r="L1448" i="5"/>
  <c r="I1448" i="5"/>
  <c r="F1448" i="5"/>
  <c r="B1448" i="5"/>
  <c r="A1448" i="5"/>
  <c r="C1442" i="5"/>
  <c r="B1444" i="5" s="1"/>
  <c r="Q1439" i="5"/>
  <c r="D1439" i="5"/>
  <c r="Q1438" i="5"/>
  <c r="D1438" i="5"/>
  <c r="Q1437" i="5"/>
  <c r="D1437" i="5"/>
  <c r="Q1436" i="5"/>
  <c r="D1436" i="5"/>
  <c r="Q1435" i="5"/>
  <c r="D1435" i="5"/>
  <c r="Q1434" i="5"/>
  <c r="D1434" i="5"/>
  <c r="Q1433" i="5"/>
  <c r="D1433" i="5"/>
  <c r="Q1432" i="5"/>
  <c r="D1432" i="5"/>
  <c r="Q1431" i="5"/>
  <c r="D1431" i="5"/>
  <c r="Q1430" i="5"/>
  <c r="Q1440" i="5" s="1"/>
  <c r="D1430" i="5"/>
  <c r="B1428" i="5"/>
  <c r="O1421" i="5"/>
  <c r="L1421" i="5"/>
  <c r="I1421" i="5"/>
  <c r="C1426" i="5" s="1"/>
  <c r="F1421" i="5"/>
  <c r="C1424" i="5" s="1"/>
  <c r="B1421" i="5"/>
  <c r="R1421" i="5" s="1"/>
  <c r="AC1421" i="5" s="1"/>
  <c r="C1417" i="5"/>
  <c r="C1415" i="5"/>
  <c r="O1408" i="5"/>
  <c r="L1408" i="5"/>
  <c r="I1408" i="5"/>
  <c r="F1408" i="5"/>
  <c r="C1411" i="5" s="1"/>
  <c r="B1408" i="5"/>
  <c r="R1408" i="5" s="1"/>
  <c r="C1400" i="5"/>
  <c r="C1398" i="5"/>
  <c r="O1390" i="5"/>
  <c r="L1390" i="5"/>
  <c r="I1390" i="5"/>
  <c r="F1390" i="5"/>
  <c r="B1390" i="5"/>
  <c r="C1386" i="5"/>
  <c r="C1384" i="5"/>
  <c r="A1390" i="5" s="1"/>
  <c r="O1378" i="5"/>
  <c r="L1378" i="5"/>
  <c r="I1378" i="5"/>
  <c r="F1378" i="5"/>
  <c r="C1381" i="5" s="1"/>
  <c r="B1378" i="5"/>
  <c r="C1374" i="5"/>
  <c r="C1372" i="5"/>
  <c r="O1363" i="5"/>
  <c r="L1363" i="5"/>
  <c r="I1363" i="5"/>
  <c r="F1363" i="5"/>
  <c r="C1368" i="5" s="1"/>
  <c r="B1363" i="5"/>
  <c r="C1359" i="5"/>
  <c r="C1357" i="5"/>
  <c r="O1350" i="5"/>
  <c r="L1350" i="5"/>
  <c r="I1350" i="5"/>
  <c r="F1350" i="5"/>
  <c r="C1353" i="5" s="1"/>
  <c r="B1350" i="5"/>
  <c r="C1346" i="5"/>
  <c r="C1344" i="5"/>
  <c r="O1336" i="5"/>
  <c r="L1336" i="5"/>
  <c r="I1336" i="5"/>
  <c r="F1336" i="5"/>
  <c r="R1336" i="5" s="1"/>
  <c r="B1336" i="5"/>
  <c r="C1323" i="5"/>
  <c r="C1321" i="5"/>
  <c r="A1336" i="5" s="1"/>
  <c r="C1319" i="5"/>
  <c r="O1314" i="5"/>
  <c r="L1314" i="5"/>
  <c r="I1314" i="5"/>
  <c r="F1314" i="5"/>
  <c r="B1314" i="5"/>
  <c r="A1314" i="5"/>
  <c r="C1310" i="5"/>
  <c r="C1308" i="5"/>
  <c r="O1302" i="5"/>
  <c r="L1302" i="5"/>
  <c r="I1302" i="5"/>
  <c r="F1302" i="5"/>
  <c r="B1302" i="5"/>
  <c r="C1298" i="5"/>
  <c r="C1296" i="5"/>
  <c r="O1288" i="5"/>
  <c r="L1288" i="5"/>
  <c r="I1288" i="5"/>
  <c r="F1288" i="5"/>
  <c r="B1288" i="5"/>
  <c r="C1285" i="5"/>
  <c r="C1283" i="5"/>
  <c r="O1281" i="5"/>
  <c r="L1281" i="5"/>
  <c r="I1281" i="5"/>
  <c r="F1281" i="5"/>
  <c r="B1281" i="5"/>
  <c r="A1281" i="5"/>
  <c r="P1270" i="5"/>
  <c r="C1270" i="5"/>
  <c r="P1269" i="5"/>
  <c r="C1269" i="5"/>
  <c r="P1268" i="5"/>
  <c r="C1268" i="5"/>
  <c r="P1267" i="5"/>
  <c r="C1267" i="5"/>
  <c r="P1266" i="5"/>
  <c r="C1266" i="5"/>
  <c r="P1265" i="5"/>
  <c r="C1265" i="5"/>
  <c r="P1264" i="5"/>
  <c r="C1264" i="5"/>
  <c r="P1263" i="5"/>
  <c r="C1263" i="5"/>
  <c r="P1262" i="5"/>
  <c r="P1271" i="5" s="1"/>
  <c r="C1262" i="5"/>
  <c r="B1259" i="5"/>
  <c r="O1252" i="5"/>
  <c r="L1252" i="5"/>
  <c r="I1252" i="5"/>
  <c r="F1252" i="5"/>
  <c r="B1252" i="5"/>
  <c r="A1252" i="5"/>
  <c r="C1248" i="5"/>
  <c r="C1246" i="5"/>
  <c r="O1239" i="5"/>
  <c r="L1239" i="5"/>
  <c r="I1239" i="5"/>
  <c r="F1239" i="5"/>
  <c r="C1242" i="5" s="1"/>
  <c r="B1239" i="5"/>
  <c r="R1239" i="5" s="1"/>
  <c r="AC1239" i="5" s="1"/>
  <c r="C1235" i="5"/>
  <c r="C1233" i="5"/>
  <c r="O1226" i="5"/>
  <c r="L1226" i="5"/>
  <c r="I1226" i="5"/>
  <c r="F1226" i="5"/>
  <c r="B1226" i="5"/>
  <c r="A1226" i="5"/>
  <c r="C1222" i="5"/>
  <c r="C1217" i="5"/>
  <c r="O1210" i="5"/>
  <c r="L1210" i="5"/>
  <c r="I1210" i="5"/>
  <c r="F1210" i="5"/>
  <c r="C1213" i="5" s="1"/>
  <c r="B1210" i="5"/>
  <c r="R1210" i="5" s="1"/>
  <c r="AC1210" i="5" s="1"/>
  <c r="C1206" i="5"/>
  <c r="C1204" i="5"/>
  <c r="O1197" i="5"/>
  <c r="L1197" i="5"/>
  <c r="I1197" i="5"/>
  <c r="C1202" i="5" s="1"/>
  <c r="F1197" i="5"/>
  <c r="C1200" i="5" s="1"/>
  <c r="B1197" i="5"/>
  <c r="C1193" i="5"/>
  <c r="C1191" i="5"/>
  <c r="O1183" i="5"/>
  <c r="L1183" i="5"/>
  <c r="I1183" i="5"/>
  <c r="F1183" i="5"/>
  <c r="C1186" i="5" s="1"/>
  <c r="B1183" i="5"/>
  <c r="C1179" i="5"/>
  <c r="C1177" i="5"/>
  <c r="A1183" i="5" s="1"/>
  <c r="O1173" i="5"/>
  <c r="L1173" i="5"/>
  <c r="I1173" i="5"/>
  <c r="C1176" i="5" s="1"/>
  <c r="F1173" i="5"/>
  <c r="C1175" i="5" s="1"/>
  <c r="B1173" i="5"/>
  <c r="C1169" i="5"/>
  <c r="C1167" i="5"/>
  <c r="C1165" i="5"/>
  <c r="O1162" i="5"/>
  <c r="L1162" i="5"/>
  <c r="I1162" i="5"/>
  <c r="F1162" i="5"/>
  <c r="C1164" i="5" s="1"/>
  <c r="B1162" i="5"/>
  <c r="R1162" i="5" s="1"/>
  <c r="AC1162" i="5" s="1"/>
  <c r="C1158" i="5"/>
  <c r="C1156" i="5"/>
  <c r="O1148" i="5"/>
  <c r="L1148" i="5"/>
  <c r="I1148" i="5"/>
  <c r="F1148" i="5"/>
  <c r="B1148" i="5"/>
  <c r="C1145" i="5"/>
  <c r="C1143" i="5"/>
  <c r="A1148" i="5" s="1"/>
  <c r="O1141" i="5"/>
  <c r="L1141" i="5"/>
  <c r="I1141" i="5"/>
  <c r="F1141" i="5"/>
  <c r="B1141" i="5"/>
  <c r="A1141" i="5"/>
  <c r="Q1133" i="5"/>
  <c r="D1133" i="5"/>
  <c r="Q1132" i="5"/>
  <c r="D1132" i="5"/>
  <c r="Q1131" i="5"/>
  <c r="D1131" i="5"/>
  <c r="Q1130" i="5"/>
  <c r="D1130" i="5"/>
  <c r="Q1129" i="5"/>
  <c r="D1129" i="5"/>
  <c r="Q1128" i="5"/>
  <c r="D1128" i="5"/>
  <c r="Q1127" i="5"/>
  <c r="D1127" i="5"/>
  <c r="Q1126" i="5"/>
  <c r="D1126" i="5"/>
  <c r="Q1125" i="5"/>
  <c r="D1125" i="5"/>
  <c r="Q1124" i="5"/>
  <c r="D1124" i="5"/>
  <c r="Q1123" i="5"/>
  <c r="D1123" i="5"/>
  <c r="Q1122" i="5"/>
  <c r="D1122" i="5"/>
  <c r="Q1121" i="5"/>
  <c r="D1121" i="5"/>
  <c r="Q1120" i="5"/>
  <c r="D1120" i="5"/>
  <c r="Q1119" i="5"/>
  <c r="D1119" i="5"/>
  <c r="Q1118" i="5"/>
  <c r="D1118" i="5"/>
  <c r="Q1117" i="5"/>
  <c r="D1117" i="5"/>
  <c r="Q1116" i="5"/>
  <c r="D1116" i="5"/>
  <c r="Q1115" i="5"/>
  <c r="D1115" i="5"/>
  <c r="Q1114" i="5"/>
  <c r="D1114" i="5"/>
  <c r="Q1113" i="5"/>
  <c r="D1113" i="5"/>
  <c r="B1113" i="5"/>
  <c r="B1114" i="5" s="1"/>
  <c r="B1115" i="5" s="1"/>
  <c r="B1116" i="5" s="1"/>
  <c r="B1117" i="5" s="1"/>
  <c r="B1118" i="5" s="1"/>
  <c r="B1119" i="5" s="1"/>
  <c r="B1120" i="5" s="1"/>
  <c r="B1121" i="5" s="1"/>
  <c r="B1122" i="5" s="1"/>
  <c r="B1123" i="5" s="1"/>
  <c r="B1124" i="5" s="1"/>
  <c r="B1125" i="5" s="1"/>
  <c r="B1126" i="5" s="1"/>
  <c r="B1127" i="5" s="1"/>
  <c r="B1128" i="5" s="1"/>
  <c r="B1129" i="5" s="1"/>
  <c r="B1130" i="5" s="1"/>
  <c r="B1131" i="5" s="1"/>
  <c r="B1132" i="5" s="1"/>
  <c r="B1133" i="5" s="1"/>
  <c r="Q1112" i="5"/>
  <c r="D1112" i="5"/>
  <c r="B1109" i="5"/>
  <c r="O1102" i="5"/>
  <c r="L1102" i="5"/>
  <c r="I1102" i="5"/>
  <c r="C1107" i="5" s="1"/>
  <c r="F1102" i="5"/>
  <c r="C1105" i="5" s="1"/>
  <c r="B1102" i="5"/>
  <c r="C1098" i="5"/>
  <c r="C1096" i="5"/>
  <c r="A1102" i="5" s="1"/>
  <c r="O1089" i="5"/>
  <c r="L1089" i="5"/>
  <c r="I1089" i="5"/>
  <c r="F1089" i="5"/>
  <c r="C1092" i="5" s="1"/>
  <c r="B1089" i="5"/>
  <c r="C1085" i="5"/>
  <c r="C1083" i="5"/>
  <c r="A1089" i="5" s="1"/>
  <c r="O1076" i="5"/>
  <c r="L1076" i="5"/>
  <c r="I1076" i="5"/>
  <c r="C1081" i="5" s="1"/>
  <c r="F1076" i="5"/>
  <c r="C1079" i="5" s="1"/>
  <c r="B1076" i="5"/>
  <c r="C1072" i="5"/>
  <c r="C1070" i="5"/>
  <c r="A1076" i="5" s="1"/>
  <c r="O1060" i="5"/>
  <c r="L1060" i="5"/>
  <c r="I1060" i="5"/>
  <c r="F1060" i="5"/>
  <c r="C1066" i="5" s="1"/>
  <c r="B1060" i="5"/>
  <c r="C1056" i="5"/>
  <c r="C1054" i="5"/>
  <c r="A1060" i="5" s="1"/>
  <c r="O1047" i="5"/>
  <c r="L1047" i="5"/>
  <c r="I1047" i="5"/>
  <c r="C1052" i="5" s="1"/>
  <c r="F1047" i="5"/>
  <c r="B1047" i="5"/>
  <c r="C1043" i="5"/>
  <c r="C1041" i="5"/>
  <c r="A1047" i="5" s="1"/>
  <c r="O1034" i="5"/>
  <c r="L1034" i="5"/>
  <c r="I1034" i="5"/>
  <c r="C1039" i="5" s="1"/>
  <c r="F1034" i="5"/>
  <c r="C1037" i="5" s="1"/>
  <c r="B1034" i="5"/>
  <c r="C1029" i="5"/>
  <c r="C1027" i="5"/>
  <c r="A1034" i="5" s="1"/>
  <c r="O1020" i="5"/>
  <c r="L1020" i="5"/>
  <c r="I1020" i="5"/>
  <c r="C1025" i="5" s="1"/>
  <c r="F1020" i="5"/>
  <c r="B1020" i="5"/>
  <c r="C1016" i="5"/>
  <c r="C1014" i="5"/>
  <c r="A1020" i="5" s="1"/>
  <c r="O1007" i="5"/>
  <c r="L1007" i="5"/>
  <c r="I1007" i="5"/>
  <c r="C1012" i="5" s="1"/>
  <c r="F1007" i="5"/>
  <c r="C1010" i="5" s="1"/>
  <c r="B1007" i="5"/>
  <c r="C1003" i="5"/>
  <c r="C1001" i="5"/>
  <c r="A1007" i="5" s="1"/>
  <c r="O992" i="5"/>
  <c r="L992" i="5"/>
  <c r="I992" i="5"/>
  <c r="C997" i="5" s="1"/>
  <c r="F992" i="5"/>
  <c r="C995" i="5" s="1"/>
  <c r="B992" i="5"/>
  <c r="C988" i="5"/>
  <c r="C986" i="5"/>
  <c r="A992" i="5" s="1"/>
  <c r="C982" i="5"/>
  <c r="O979" i="5"/>
  <c r="L979" i="5"/>
  <c r="I979" i="5"/>
  <c r="C984" i="5" s="1"/>
  <c r="F979" i="5"/>
  <c r="B979" i="5"/>
  <c r="C975" i="5"/>
  <c r="C973" i="5"/>
  <c r="A979" i="5" s="1"/>
  <c r="O963" i="5"/>
  <c r="L963" i="5"/>
  <c r="I963" i="5"/>
  <c r="F963" i="5"/>
  <c r="C968" i="5" s="1"/>
  <c r="B963" i="5"/>
  <c r="C959" i="5"/>
  <c r="C957" i="5"/>
  <c r="A963" i="5" s="1"/>
  <c r="C953" i="5"/>
  <c r="O950" i="5"/>
  <c r="L950" i="5"/>
  <c r="I950" i="5"/>
  <c r="C955" i="5" s="1"/>
  <c r="F950" i="5"/>
  <c r="B950" i="5"/>
  <c r="C946" i="5"/>
  <c r="C944" i="5"/>
  <c r="A950" i="5" s="1"/>
  <c r="O936" i="5"/>
  <c r="L936" i="5"/>
  <c r="I936" i="5"/>
  <c r="C942" i="5" s="1"/>
  <c r="F936" i="5"/>
  <c r="B936" i="5"/>
  <c r="A936" i="5"/>
  <c r="C933" i="5"/>
  <c r="C927" i="5"/>
  <c r="O922" i="5"/>
  <c r="L922" i="5"/>
  <c r="I922" i="5"/>
  <c r="F922" i="5"/>
  <c r="B922" i="5"/>
  <c r="A922" i="5"/>
  <c r="C919" i="5"/>
  <c r="O909" i="5"/>
  <c r="L909" i="5"/>
  <c r="C912" i="5" s="1"/>
  <c r="I909" i="5"/>
  <c r="F909" i="5"/>
  <c r="B909" i="5"/>
  <c r="A909" i="5"/>
  <c r="C906" i="5"/>
  <c r="O897" i="5"/>
  <c r="L897" i="5"/>
  <c r="I897" i="5"/>
  <c r="C902" i="5" s="1"/>
  <c r="F897" i="5"/>
  <c r="B897" i="5"/>
  <c r="A897" i="5"/>
  <c r="C893" i="5"/>
  <c r="R884" i="5"/>
  <c r="O884" i="5"/>
  <c r="L884" i="5"/>
  <c r="I884" i="5"/>
  <c r="F884" i="5"/>
  <c r="B884" i="5"/>
  <c r="C879" i="5" s="1"/>
  <c r="A884" i="5"/>
  <c r="C881" i="5"/>
  <c r="R870" i="5"/>
  <c r="O870" i="5"/>
  <c r="L870" i="5"/>
  <c r="I870" i="5"/>
  <c r="C876" i="5" s="1"/>
  <c r="F870" i="5"/>
  <c r="C874" i="5" s="1"/>
  <c r="B870" i="5"/>
  <c r="C865" i="5" s="1"/>
  <c r="A870" i="5"/>
  <c r="C866" i="5"/>
  <c r="R862" i="5"/>
  <c r="O862" i="5"/>
  <c r="L862" i="5"/>
  <c r="I862" i="5"/>
  <c r="F862" i="5"/>
  <c r="B862" i="5"/>
  <c r="A862" i="5"/>
  <c r="C858" i="5"/>
  <c r="R854" i="5"/>
  <c r="C850" i="5" s="1"/>
  <c r="O854" i="5"/>
  <c r="L854" i="5"/>
  <c r="I854" i="5"/>
  <c r="F854" i="5"/>
  <c r="B854" i="5"/>
  <c r="A854" i="5"/>
  <c r="C851" i="5"/>
  <c r="O846" i="5"/>
  <c r="L846" i="5"/>
  <c r="I846" i="5"/>
  <c r="F846" i="5"/>
  <c r="B846" i="5"/>
  <c r="A846" i="5"/>
  <c r="P836" i="5"/>
  <c r="C836" i="5"/>
  <c r="P835" i="5"/>
  <c r="C835" i="5"/>
  <c r="P834" i="5"/>
  <c r="C834" i="5"/>
  <c r="P833" i="5"/>
  <c r="C833" i="5"/>
  <c r="P832" i="5"/>
  <c r="C832" i="5"/>
  <c r="P831" i="5"/>
  <c r="C831" i="5"/>
  <c r="P830" i="5"/>
  <c r="C830" i="5"/>
  <c r="P829" i="5"/>
  <c r="C829" i="5"/>
  <c r="P828" i="5"/>
  <c r="C828" i="5"/>
  <c r="P827" i="5"/>
  <c r="C827" i="5"/>
  <c r="P826" i="5"/>
  <c r="C826" i="5"/>
  <c r="P825" i="5"/>
  <c r="C825" i="5"/>
  <c r="P824" i="5"/>
  <c r="P837" i="5" s="1"/>
  <c r="C824" i="5"/>
  <c r="C822" i="5"/>
  <c r="O813" i="5"/>
  <c r="R812" i="5"/>
  <c r="R813" i="5" s="1"/>
  <c r="O812" i="5"/>
  <c r="L812" i="5"/>
  <c r="L813" i="5" s="1"/>
  <c r="I812" i="5"/>
  <c r="I813" i="5" s="1"/>
  <c r="F812" i="5"/>
  <c r="B812" i="5"/>
  <c r="N801" i="5"/>
  <c r="AC801" i="5" s="1"/>
  <c r="I801" i="5"/>
  <c r="AC800" i="5"/>
  <c r="N800" i="5"/>
  <c r="I800" i="5"/>
  <c r="S800" i="5" s="1"/>
  <c r="N799" i="5"/>
  <c r="I799" i="5"/>
  <c r="N798" i="5"/>
  <c r="I798" i="5"/>
  <c r="S798" i="5" s="1"/>
  <c r="N797" i="5"/>
  <c r="AC797" i="5" s="1"/>
  <c r="I797" i="5"/>
  <c r="N796" i="5"/>
  <c r="I796" i="5"/>
  <c r="N787" i="5"/>
  <c r="J787" i="5"/>
  <c r="F787" i="5"/>
  <c r="R786" i="5"/>
  <c r="R785" i="5"/>
  <c r="N778" i="5"/>
  <c r="J778" i="5"/>
  <c r="F778" i="5"/>
  <c r="R777" i="5"/>
  <c r="R776" i="5"/>
  <c r="R775" i="5"/>
  <c r="R774" i="5"/>
  <c r="N767" i="5"/>
  <c r="J767" i="5"/>
  <c r="F767" i="5"/>
  <c r="R766" i="5"/>
  <c r="R765" i="5"/>
  <c r="R764" i="5"/>
  <c r="R763" i="5"/>
  <c r="R762" i="5"/>
  <c r="R761" i="5"/>
  <c r="N751" i="5"/>
  <c r="I751" i="5"/>
  <c r="B751" i="5"/>
  <c r="N750" i="5"/>
  <c r="I750" i="5"/>
  <c r="AC750" i="5" s="1"/>
  <c r="B750" i="5"/>
  <c r="N749" i="5"/>
  <c r="I749" i="5"/>
  <c r="AC749" i="5" s="1"/>
  <c r="B749" i="5"/>
  <c r="C745" i="5"/>
  <c r="N740" i="5"/>
  <c r="I740" i="5"/>
  <c r="B740" i="5"/>
  <c r="N739" i="5"/>
  <c r="I739" i="5"/>
  <c r="AC739" i="5" s="1"/>
  <c r="B739" i="5"/>
  <c r="N738" i="5"/>
  <c r="I738" i="5"/>
  <c r="B738" i="5"/>
  <c r="N737" i="5"/>
  <c r="I737" i="5"/>
  <c r="AC737" i="5" s="1"/>
  <c r="B737" i="5"/>
  <c r="N736" i="5"/>
  <c r="I736" i="5"/>
  <c r="B736" i="5"/>
  <c r="J721" i="5"/>
  <c r="R720" i="5"/>
  <c r="R719" i="5"/>
  <c r="R718" i="5"/>
  <c r="R717" i="5"/>
  <c r="J715" i="5"/>
  <c r="R714" i="5"/>
  <c r="R713" i="5"/>
  <c r="R712" i="5"/>
  <c r="R711" i="5"/>
  <c r="R715" i="5" s="1"/>
  <c r="J709" i="5"/>
  <c r="R708" i="5"/>
  <c r="R707" i="5"/>
  <c r="O727" i="5" s="1"/>
  <c r="R706" i="5"/>
  <c r="O726" i="5" s="1"/>
  <c r="R705" i="5"/>
  <c r="N697" i="5"/>
  <c r="J697" i="5"/>
  <c r="F697" i="5"/>
  <c r="R696" i="5"/>
  <c r="R695" i="5"/>
  <c r="R697" i="5" s="1"/>
  <c r="D691" i="5"/>
  <c r="E687" i="5"/>
  <c r="N684" i="5"/>
  <c r="E688" i="5" s="1"/>
  <c r="J684" i="5"/>
  <c r="F684" i="5"/>
  <c r="R683" i="5"/>
  <c r="R682" i="5"/>
  <c r="N673" i="5"/>
  <c r="J673" i="5"/>
  <c r="F673" i="5"/>
  <c r="R672" i="5"/>
  <c r="R671" i="5"/>
  <c r="R670" i="5"/>
  <c r="N664" i="5"/>
  <c r="J664" i="5"/>
  <c r="R664" i="5" s="1"/>
  <c r="D654" i="5" s="1"/>
  <c r="F664" i="5"/>
  <c r="R663" i="5"/>
  <c r="R662" i="5"/>
  <c r="R661" i="5"/>
  <c r="R660" i="5"/>
  <c r="R659" i="5"/>
  <c r="R658" i="5"/>
  <c r="R657" i="5"/>
  <c r="R656" i="5"/>
  <c r="R669" i="5" s="1"/>
  <c r="R681" i="5" s="1"/>
  <c r="F656" i="5"/>
  <c r="F669" i="5" s="1"/>
  <c r="F694" i="5" s="1"/>
  <c r="J655" i="5"/>
  <c r="J693" i="5" s="1"/>
  <c r="O649" i="5"/>
  <c r="J649" i="5"/>
  <c r="B649" i="5"/>
  <c r="O648" i="5"/>
  <c r="J648" i="5"/>
  <c r="B648" i="5"/>
  <c r="O647" i="5"/>
  <c r="J647" i="5"/>
  <c r="B647" i="5"/>
  <c r="O646" i="5"/>
  <c r="J646" i="5"/>
  <c r="T646" i="5" s="1"/>
  <c r="B646" i="5"/>
  <c r="O645" i="5"/>
  <c r="J645" i="5"/>
  <c r="B645" i="5"/>
  <c r="O635" i="5"/>
  <c r="J635" i="5"/>
  <c r="D626" i="5" s="1"/>
  <c r="Q622" i="5"/>
  <c r="Q623" i="5" s="1"/>
  <c r="L622" i="5"/>
  <c r="L623" i="5" s="1"/>
  <c r="D616" i="5"/>
  <c r="O612" i="5"/>
  <c r="O613" i="5" s="1"/>
  <c r="J612" i="5"/>
  <c r="J613" i="5" s="1"/>
  <c r="D606" i="5" s="1"/>
  <c r="O598" i="5"/>
  <c r="J598" i="5"/>
  <c r="O597" i="5"/>
  <c r="J597" i="5"/>
  <c r="O596" i="5"/>
  <c r="J596" i="5"/>
  <c r="O595" i="5"/>
  <c r="J595" i="5"/>
  <c r="J599" i="5" s="1"/>
  <c r="D592" i="5"/>
  <c r="O588" i="5"/>
  <c r="O587" i="5"/>
  <c r="O586" i="5"/>
  <c r="O585" i="5"/>
  <c r="O584" i="5"/>
  <c r="O583" i="5"/>
  <c r="N575" i="5"/>
  <c r="N576" i="5" s="1"/>
  <c r="I575" i="5"/>
  <c r="N574" i="5"/>
  <c r="I574" i="5"/>
  <c r="T574" i="5" s="1"/>
  <c r="N573" i="5"/>
  <c r="I573" i="5"/>
  <c r="C579" i="5" s="1"/>
  <c r="N572" i="5"/>
  <c r="O594" i="5" s="1"/>
  <c r="O610" i="5" s="1"/>
  <c r="Q620" i="5" s="1"/>
  <c r="O632" i="5" s="1"/>
  <c r="O644" i="5" s="1"/>
  <c r="N735" i="5" s="1"/>
  <c r="N748" i="5" s="1"/>
  <c r="I572" i="5"/>
  <c r="J594" i="5" s="1"/>
  <c r="J610" i="5" s="1"/>
  <c r="L620" i="5" s="1"/>
  <c r="J632" i="5" s="1"/>
  <c r="J644" i="5" s="1"/>
  <c r="I735" i="5" s="1"/>
  <c r="I748" i="5" s="1"/>
  <c r="C568" i="5"/>
  <c r="O564" i="5"/>
  <c r="J564" i="5"/>
  <c r="E564" i="5"/>
  <c r="Y564" i="5" s="1"/>
  <c r="A564" i="5"/>
  <c r="O563" i="5"/>
  <c r="O565" i="5" s="1"/>
  <c r="J563" i="5"/>
  <c r="AC563" i="5" s="1"/>
  <c r="E563" i="5"/>
  <c r="E565" i="5" s="1"/>
  <c r="A563" i="5"/>
  <c r="AC562" i="5"/>
  <c r="Y562" i="5"/>
  <c r="V562" i="5"/>
  <c r="A562" i="5"/>
  <c r="B560" i="5"/>
  <c r="E559" i="5"/>
  <c r="O554" i="5"/>
  <c r="J554" i="5"/>
  <c r="AC554" i="5" s="1"/>
  <c r="E554" i="5"/>
  <c r="A554" i="5"/>
  <c r="O553" i="5"/>
  <c r="J553" i="5"/>
  <c r="J555" i="5" s="1"/>
  <c r="E553" i="5"/>
  <c r="A553" i="5"/>
  <c r="AC552" i="5"/>
  <c r="Y552" i="5"/>
  <c r="V552" i="5"/>
  <c r="T552" i="5"/>
  <c r="A552" i="5"/>
  <c r="B550" i="5"/>
  <c r="O543" i="5"/>
  <c r="J543" i="5"/>
  <c r="Y543" i="5" s="1"/>
  <c r="D543" i="5"/>
  <c r="AC542" i="5"/>
  <c r="Y542" i="5"/>
  <c r="V542" i="5"/>
  <c r="AC541" i="5"/>
  <c r="Y541" i="5"/>
  <c r="V541" i="5"/>
  <c r="AC540" i="5"/>
  <c r="Y540" i="5"/>
  <c r="V540" i="5"/>
  <c r="AC539" i="5"/>
  <c r="Y539" i="5"/>
  <c r="V539" i="5"/>
  <c r="E537" i="5"/>
  <c r="O533" i="5"/>
  <c r="J533" i="5"/>
  <c r="AC533" i="5" s="1"/>
  <c r="E533" i="5"/>
  <c r="Y533" i="5" s="1"/>
  <c r="AC532" i="5"/>
  <c r="Y532" i="5"/>
  <c r="V532" i="5"/>
  <c r="AC531" i="5"/>
  <c r="Y531" i="5"/>
  <c r="V531" i="5"/>
  <c r="E527" i="5"/>
  <c r="O524" i="5"/>
  <c r="J524" i="5"/>
  <c r="AC524" i="5" s="1"/>
  <c r="E524" i="5"/>
  <c r="AC523" i="5"/>
  <c r="Y523" i="5"/>
  <c r="V523" i="5"/>
  <c r="AC522" i="5"/>
  <c r="Y522" i="5"/>
  <c r="V522" i="5"/>
  <c r="E518" i="5"/>
  <c r="O513" i="5"/>
  <c r="J513" i="5"/>
  <c r="AC513" i="5" s="1"/>
  <c r="E513" i="5"/>
  <c r="Y513" i="5" s="1"/>
  <c r="AC512" i="5"/>
  <c r="Y512" i="5"/>
  <c r="V512" i="5"/>
  <c r="AC511" i="5"/>
  <c r="Y511" i="5"/>
  <c r="V511" i="5"/>
  <c r="AC510" i="5"/>
  <c r="Y510" i="5"/>
  <c r="V510" i="5"/>
  <c r="O503" i="5"/>
  <c r="J503" i="5"/>
  <c r="T503" i="5" s="1"/>
  <c r="E503" i="5"/>
  <c r="Y503" i="5" s="1"/>
  <c r="AC502" i="5"/>
  <c r="Y502" i="5"/>
  <c r="V502" i="5"/>
  <c r="AC501" i="5"/>
  <c r="Y501" i="5"/>
  <c r="V501" i="5"/>
  <c r="AC500" i="5"/>
  <c r="Y500" i="5"/>
  <c r="V500" i="5"/>
  <c r="T500" i="5"/>
  <c r="AC499" i="5"/>
  <c r="Y499" i="5"/>
  <c r="V499" i="5"/>
  <c r="E498" i="5"/>
  <c r="E509" i="5" s="1"/>
  <c r="E521" i="5" s="1"/>
  <c r="E530" i="5" s="1"/>
  <c r="D492" i="5"/>
  <c r="D493" i="5" s="1"/>
  <c r="D494" i="5" s="1"/>
  <c r="D505" i="5" s="1"/>
  <c r="D515" i="5" s="1"/>
  <c r="D516" i="5" s="1"/>
  <c r="D517" i="5" s="1"/>
  <c r="D526" i="5" s="1"/>
  <c r="AC488" i="5"/>
  <c r="Y488" i="5"/>
  <c r="V488" i="5"/>
  <c r="O487" i="5"/>
  <c r="J487" i="5"/>
  <c r="AC487" i="5" s="1"/>
  <c r="E487" i="5"/>
  <c r="A487" i="5"/>
  <c r="O486" i="5"/>
  <c r="J486" i="5"/>
  <c r="AC486" i="5" s="1"/>
  <c r="E486" i="5"/>
  <c r="A486" i="5"/>
  <c r="O485" i="5"/>
  <c r="J485" i="5"/>
  <c r="AC485" i="5" s="1"/>
  <c r="E485" i="5"/>
  <c r="A485" i="5"/>
  <c r="O484" i="5"/>
  <c r="J484" i="5"/>
  <c r="V484" i="5" s="1"/>
  <c r="E484" i="5"/>
  <c r="A484" i="5"/>
  <c r="O483" i="5"/>
  <c r="J483" i="5"/>
  <c r="AC483" i="5" s="1"/>
  <c r="E483" i="5"/>
  <c r="A483" i="5"/>
  <c r="O482" i="5"/>
  <c r="J482" i="5"/>
  <c r="T482" i="5" s="1"/>
  <c r="E482" i="5"/>
  <c r="A482" i="5"/>
  <c r="O481" i="5"/>
  <c r="J481" i="5"/>
  <c r="AC481" i="5" s="1"/>
  <c r="E481" i="5"/>
  <c r="A481" i="5"/>
  <c r="O480" i="5"/>
  <c r="J480" i="5"/>
  <c r="AC480" i="5" s="1"/>
  <c r="E480" i="5"/>
  <c r="A480" i="5"/>
  <c r="O479" i="5"/>
  <c r="O489" i="5" s="1"/>
  <c r="J479" i="5"/>
  <c r="J489" i="5" s="1"/>
  <c r="E479" i="5"/>
  <c r="E489" i="5" s="1"/>
  <c r="A479" i="5"/>
  <c r="B477" i="5"/>
  <c r="O465" i="5"/>
  <c r="O466" i="5" s="1"/>
  <c r="J465" i="5"/>
  <c r="E465" i="5"/>
  <c r="Y465" i="5" s="1"/>
  <c r="A465" i="5"/>
  <c r="AC464" i="5"/>
  <c r="J464" i="5"/>
  <c r="J466" i="5" s="1"/>
  <c r="E464" i="5"/>
  <c r="Y464" i="5" s="1"/>
  <c r="A464" i="5"/>
  <c r="B462" i="5"/>
  <c r="O452" i="5"/>
  <c r="J452" i="5"/>
  <c r="AC452" i="5" s="1"/>
  <c r="E452" i="5"/>
  <c r="Y452" i="5" s="1"/>
  <c r="A452" i="5"/>
  <c r="O451" i="5"/>
  <c r="J451" i="5"/>
  <c r="AC451" i="5" s="1"/>
  <c r="E451" i="5"/>
  <c r="Y451" i="5" s="1"/>
  <c r="A451" i="5"/>
  <c r="O450" i="5"/>
  <c r="J450" i="5"/>
  <c r="AC450" i="5" s="1"/>
  <c r="E450" i="5"/>
  <c r="A450" i="5"/>
  <c r="O449" i="5"/>
  <c r="J449" i="5"/>
  <c r="AC449" i="5" s="1"/>
  <c r="E449" i="5"/>
  <c r="Y449" i="5" s="1"/>
  <c r="A449" i="5"/>
  <c r="O448" i="5"/>
  <c r="J448" i="5"/>
  <c r="T448" i="5" s="1"/>
  <c r="E448" i="5"/>
  <c r="Y448" i="5" s="1"/>
  <c r="A448" i="5"/>
  <c r="O447" i="5"/>
  <c r="J447" i="5"/>
  <c r="J453" i="5" s="1"/>
  <c r="E447" i="5"/>
  <c r="Y447" i="5" s="1"/>
  <c r="A447" i="5"/>
  <c r="B445" i="5"/>
  <c r="D443" i="5"/>
  <c r="V441" i="5"/>
  <c r="O436" i="5"/>
  <c r="J436" i="5"/>
  <c r="E436" i="5"/>
  <c r="Y436" i="5" s="1"/>
  <c r="A436" i="5"/>
  <c r="B434" i="5"/>
  <c r="O429" i="5"/>
  <c r="J429" i="5"/>
  <c r="AC429" i="5" s="1"/>
  <c r="D426" i="5" s="1"/>
  <c r="E429" i="5"/>
  <c r="Y429" i="5" s="1"/>
  <c r="A429" i="5"/>
  <c r="B427" i="5"/>
  <c r="O420" i="5"/>
  <c r="J420" i="5"/>
  <c r="AC420" i="5" s="1"/>
  <c r="E420" i="5"/>
  <c r="Y420" i="5" s="1"/>
  <c r="A420" i="5"/>
  <c r="O419" i="5"/>
  <c r="J419" i="5"/>
  <c r="AC419" i="5" s="1"/>
  <c r="E419" i="5"/>
  <c r="Y419" i="5" s="1"/>
  <c r="A419" i="5"/>
  <c r="O418" i="5"/>
  <c r="J418" i="5"/>
  <c r="E418" i="5"/>
  <c r="A418" i="5"/>
  <c r="O417" i="5"/>
  <c r="J417" i="5"/>
  <c r="AC417" i="5" s="1"/>
  <c r="E417" i="5"/>
  <c r="Y417" i="5" s="1"/>
  <c r="A417" i="5"/>
  <c r="O416" i="5"/>
  <c r="J416" i="5"/>
  <c r="E416" i="5"/>
  <c r="A416" i="5"/>
  <c r="O415" i="5"/>
  <c r="J415" i="5"/>
  <c r="T415" i="5" s="1"/>
  <c r="E415" i="5"/>
  <c r="Y415" i="5" s="1"/>
  <c r="A415" i="5"/>
  <c r="O414" i="5"/>
  <c r="J414" i="5"/>
  <c r="E414" i="5"/>
  <c r="A414" i="5"/>
  <c r="O413" i="5"/>
  <c r="J413" i="5"/>
  <c r="AC413" i="5" s="1"/>
  <c r="E413" i="5"/>
  <c r="A413" i="5"/>
  <c r="O412" i="5"/>
  <c r="J412" i="5"/>
  <c r="V412" i="5" s="1"/>
  <c r="E412" i="5"/>
  <c r="A412" i="5"/>
  <c r="O411" i="5"/>
  <c r="J411" i="5"/>
  <c r="T411" i="5" s="1"/>
  <c r="E411" i="5"/>
  <c r="A411" i="5"/>
  <c r="O410" i="5"/>
  <c r="J410" i="5"/>
  <c r="T410" i="5" s="1"/>
  <c r="E410" i="5"/>
  <c r="A410" i="5"/>
  <c r="O409" i="5"/>
  <c r="J409" i="5"/>
  <c r="T409" i="5" s="1"/>
  <c r="E409" i="5"/>
  <c r="A409" i="5"/>
  <c r="O408" i="5"/>
  <c r="J408" i="5"/>
  <c r="E408" i="5"/>
  <c r="A408" i="5"/>
  <c r="O407" i="5"/>
  <c r="J407" i="5"/>
  <c r="E407" i="5"/>
  <c r="A407" i="5"/>
  <c r="O406" i="5"/>
  <c r="J406" i="5"/>
  <c r="E406" i="5"/>
  <c r="A406" i="5"/>
  <c r="V405" i="5"/>
  <c r="O405" i="5"/>
  <c r="AC405" i="5" s="1"/>
  <c r="J405" i="5"/>
  <c r="E405" i="5"/>
  <c r="Y405" i="5" s="1"/>
  <c r="A405" i="5"/>
  <c r="O404" i="5"/>
  <c r="J404" i="5"/>
  <c r="E404" i="5"/>
  <c r="V404" i="5" s="1"/>
  <c r="A404" i="5"/>
  <c r="O403" i="5"/>
  <c r="O421" i="5" s="1"/>
  <c r="J403" i="5"/>
  <c r="E403" i="5"/>
  <c r="V403" i="5" s="1"/>
  <c r="A403" i="5"/>
  <c r="B401" i="5"/>
  <c r="D400" i="5"/>
  <c r="Y393" i="5"/>
  <c r="O393" i="5"/>
  <c r="J393" i="5"/>
  <c r="E393" i="5"/>
  <c r="A393" i="5"/>
  <c r="Y392" i="5"/>
  <c r="O392" i="5"/>
  <c r="J392" i="5"/>
  <c r="E392" i="5"/>
  <c r="A392" i="5"/>
  <c r="O391" i="5"/>
  <c r="J391" i="5"/>
  <c r="E391" i="5"/>
  <c r="A391" i="5"/>
  <c r="O390" i="5"/>
  <c r="J390" i="5"/>
  <c r="E390" i="5"/>
  <c r="A390" i="5"/>
  <c r="O389" i="5"/>
  <c r="J389" i="5"/>
  <c r="V389" i="5" s="1"/>
  <c r="E389" i="5"/>
  <c r="A389" i="5"/>
  <c r="O388" i="5"/>
  <c r="J388" i="5"/>
  <c r="Y388" i="5" s="1"/>
  <c r="E388" i="5"/>
  <c r="A388" i="5"/>
  <c r="O387" i="5"/>
  <c r="O394" i="5" s="1"/>
  <c r="J387" i="5"/>
  <c r="Y387" i="5" s="1"/>
  <c r="E387" i="5"/>
  <c r="A387" i="5"/>
  <c r="B385" i="5"/>
  <c r="O374" i="5"/>
  <c r="J373" i="5"/>
  <c r="E373" i="5"/>
  <c r="Y373" i="5" s="1"/>
  <c r="J372" i="5"/>
  <c r="AC372" i="5" s="1"/>
  <c r="E372" i="5"/>
  <c r="Y372" i="5" s="1"/>
  <c r="O371" i="5"/>
  <c r="J371" i="5"/>
  <c r="E371" i="5"/>
  <c r="A371" i="5"/>
  <c r="O370" i="5"/>
  <c r="J370" i="5"/>
  <c r="E370" i="5"/>
  <c r="E374" i="5" s="1"/>
  <c r="A370" i="5"/>
  <c r="C367" i="5"/>
  <c r="B364" i="5"/>
  <c r="Y352" i="5"/>
  <c r="O352" i="5"/>
  <c r="J352" i="5"/>
  <c r="E352" i="5"/>
  <c r="A352" i="5"/>
  <c r="V338" i="5" s="1"/>
  <c r="O351" i="5"/>
  <c r="J351" i="5"/>
  <c r="E351" i="5"/>
  <c r="A351" i="5"/>
  <c r="O350" i="5"/>
  <c r="J350" i="5"/>
  <c r="E350" i="5"/>
  <c r="A350" i="5"/>
  <c r="V336" i="5" s="1"/>
  <c r="O349" i="5"/>
  <c r="O353" i="5" s="1"/>
  <c r="J349" i="5"/>
  <c r="E349" i="5"/>
  <c r="A349" i="5"/>
  <c r="V335" i="5" s="1"/>
  <c r="O348" i="5"/>
  <c r="O386" i="5" s="1"/>
  <c r="O402" i="5" s="1"/>
  <c r="J348" i="5"/>
  <c r="J386" i="5" s="1"/>
  <c r="B347" i="5"/>
  <c r="C345" i="5"/>
  <c r="AF338" i="5"/>
  <c r="AF337" i="5"/>
  <c r="AB337" i="5"/>
  <c r="AF336" i="5"/>
  <c r="AB336" i="5"/>
  <c r="AB335" i="5"/>
  <c r="C328" i="5"/>
  <c r="O323" i="5"/>
  <c r="J323" i="5"/>
  <c r="D323" i="5"/>
  <c r="A323" i="5"/>
  <c r="O322" i="5"/>
  <c r="J322" i="5"/>
  <c r="D322" i="5"/>
  <c r="A322" i="5"/>
  <c r="O321" i="5"/>
  <c r="O324" i="5" s="1"/>
  <c r="J321" i="5"/>
  <c r="J324" i="5" s="1"/>
  <c r="D316" i="5" s="1"/>
  <c r="D321" i="5"/>
  <c r="D324" i="5" s="1"/>
  <c r="A321" i="5"/>
  <c r="A319" i="5"/>
  <c r="O312" i="5"/>
  <c r="J312" i="5"/>
  <c r="D312" i="5"/>
  <c r="O311" i="5"/>
  <c r="J311" i="5"/>
  <c r="D311" i="5"/>
  <c r="O310" i="5"/>
  <c r="O313" i="5" s="1"/>
  <c r="J310" i="5"/>
  <c r="J313" i="5" s="1"/>
  <c r="D305" i="5" s="1"/>
  <c r="D310" i="5"/>
  <c r="P302" i="5"/>
  <c r="E293" i="5" s="1"/>
  <c r="P290" i="5"/>
  <c r="E285" i="5"/>
  <c r="P281" i="5"/>
  <c r="P282" i="5" s="1"/>
  <c r="E273" i="5" s="1"/>
  <c r="P268" i="5"/>
  <c r="E255" i="5" s="1"/>
  <c r="O249" i="5"/>
  <c r="O248" i="5" s="1"/>
  <c r="J249" i="5"/>
  <c r="D249" i="5"/>
  <c r="D248" i="5" s="1"/>
  <c r="J248" i="5"/>
  <c r="O247" i="5"/>
  <c r="J247" i="5"/>
  <c r="D247" i="5"/>
  <c r="J246" i="5"/>
  <c r="D246" i="5"/>
  <c r="O245" i="5"/>
  <c r="O250" i="5" s="1"/>
  <c r="J245" i="5"/>
  <c r="D245" i="5"/>
  <c r="O243" i="5"/>
  <c r="O308" i="5" s="1"/>
  <c r="O319" i="5" s="1"/>
  <c r="O233" i="5"/>
  <c r="J233" i="5"/>
  <c r="D233" i="5"/>
  <c r="A233" i="5"/>
  <c r="O232" i="5"/>
  <c r="J232" i="5"/>
  <c r="V232" i="5" s="1"/>
  <c r="D232" i="5"/>
  <c r="A232" i="5"/>
  <c r="O231" i="5"/>
  <c r="O230" i="5" s="1"/>
  <c r="J231" i="5"/>
  <c r="J230" i="5" s="1"/>
  <c r="D231" i="5"/>
  <c r="A231" i="5"/>
  <c r="O229" i="5"/>
  <c r="J229" i="5"/>
  <c r="D229" i="5"/>
  <c r="A229" i="5"/>
  <c r="O228" i="5"/>
  <c r="O226" i="5" s="1"/>
  <c r="J228" i="5"/>
  <c r="D228" i="5"/>
  <c r="Y228" i="5" s="1"/>
  <c r="A228" i="5"/>
  <c r="AC227" i="5"/>
  <c r="O227" i="5"/>
  <c r="J227" i="5"/>
  <c r="D227" i="5"/>
  <c r="A227" i="5"/>
  <c r="O225" i="5"/>
  <c r="J225" i="5"/>
  <c r="D225" i="5"/>
  <c r="Y225" i="5" s="1"/>
  <c r="O224" i="5"/>
  <c r="J224" i="5"/>
  <c r="D224" i="5"/>
  <c r="Y224" i="5" s="1"/>
  <c r="O223" i="5"/>
  <c r="J223" i="5"/>
  <c r="D223" i="5"/>
  <c r="Y223" i="5" s="1"/>
  <c r="O222" i="5"/>
  <c r="J222" i="5"/>
  <c r="J221" i="5" s="1"/>
  <c r="D222" i="5"/>
  <c r="O219" i="5"/>
  <c r="D219" i="5"/>
  <c r="B218" i="5"/>
  <c r="C216" i="5"/>
  <c r="C213" i="5"/>
  <c r="D176" i="5"/>
  <c r="D174" i="5"/>
  <c r="K170" i="5"/>
  <c r="K169" i="5"/>
  <c r="K166" i="5"/>
  <c r="K165" i="5"/>
  <c r="C161" i="5"/>
  <c r="B160" i="5"/>
  <c r="K148" i="5"/>
  <c r="E148" i="5"/>
  <c r="K147" i="5"/>
  <c r="E169" i="5" s="1"/>
  <c r="E147" i="5"/>
  <c r="P146" i="5"/>
  <c r="T144" i="5"/>
  <c r="K144" i="5"/>
  <c r="E144" i="5"/>
  <c r="K143" i="5"/>
  <c r="E143" i="5"/>
  <c r="E145" i="5" s="1"/>
  <c r="K141" i="5"/>
  <c r="A140" i="5"/>
  <c r="C138" i="5"/>
  <c r="L134" i="5"/>
  <c r="Q134" i="5" s="1"/>
  <c r="G134" i="5"/>
  <c r="L133" i="5"/>
  <c r="G133" i="5"/>
  <c r="Q133" i="5" s="1"/>
  <c r="L132" i="5"/>
  <c r="Q132" i="5" s="1"/>
  <c r="G132" i="5"/>
  <c r="L131" i="5"/>
  <c r="G131" i="5"/>
  <c r="Q130" i="5"/>
  <c r="L128" i="5"/>
  <c r="G128" i="5"/>
  <c r="L127" i="5"/>
  <c r="G127" i="5"/>
  <c r="L126" i="5"/>
  <c r="G126" i="5"/>
  <c r="C120" i="5"/>
  <c r="B119" i="5"/>
  <c r="C34" i="5"/>
  <c r="C35" i="5" s="1"/>
  <c r="C36" i="5" s="1"/>
  <c r="C37" i="5" s="1"/>
  <c r="C38" i="5" s="1"/>
  <c r="C39" i="5" s="1"/>
  <c r="C40" i="5" s="1"/>
  <c r="C41" i="5" s="1"/>
  <c r="C42" i="5" s="1"/>
  <c r="C43" i="5" s="1"/>
  <c r="C44" i="5" s="1"/>
  <c r="C45" i="5" s="1"/>
  <c r="C46" i="5" s="1"/>
  <c r="C47" i="5" s="1"/>
  <c r="C48" i="5" s="1"/>
  <c r="C49" i="5" s="1"/>
  <c r="C50" i="5" s="1"/>
  <c r="C51" i="5" s="1"/>
  <c r="C52" i="5" s="1"/>
  <c r="C53" i="5" s="1"/>
  <c r="C54" i="5" s="1"/>
  <c r="C55" i="5" s="1"/>
  <c r="C56" i="5" s="1"/>
  <c r="C23" i="5"/>
  <c r="C10" i="5"/>
  <c r="C9" i="5"/>
  <c r="C8" i="5"/>
  <c r="AC233" i="5" l="1"/>
  <c r="Y233" i="5"/>
  <c r="Y227" i="5"/>
  <c r="D226" i="5"/>
  <c r="Q127" i="5"/>
  <c r="G129" i="5"/>
  <c r="D221" i="5"/>
  <c r="Y221" i="5" s="1"/>
  <c r="O221" i="5"/>
  <c r="Y391" i="5"/>
  <c r="O728" i="5"/>
  <c r="F813" i="5"/>
  <c r="C816" i="5"/>
  <c r="C939" i="5"/>
  <c r="T406" i="5"/>
  <c r="V406" i="5"/>
  <c r="I802" i="5"/>
  <c r="AC796" i="5"/>
  <c r="D250" i="5"/>
  <c r="J250" i="5"/>
  <c r="AC390" i="5"/>
  <c r="Y390" i="5"/>
  <c r="Y407" i="5"/>
  <c r="V408" i="5"/>
  <c r="V410" i="5"/>
  <c r="Y411" i="5"/>
  <c r="F1744" i="5"/>
  <c r="AC482" i="5"/>
  <c r="I576" i="5"/>
  <c r="T576" i="5" s="1"/>
  <c r="R721" i="5"/>
  <c r="R1148" i="5"/>
  <c r="R1288" i="5"/>
  <c r="R1302" i="5"/>
  <c r="AC1302" i="5" s="1"/>
  <c r="R1350" i="5"/>
  <c r="AC1350" i="5" s="1"/>
  <c r="R1363" i="5"/>
  <c r="AC1363" i="5" s="1"/>
  <c r="R1378" i="5"/>
  <c r="AC1378" i="5" s="1"/>
  <c r="R1390" i="5"/>
  <c r="C1394" i="5"/>
  <c r="R1483" i="5"/>
  <c r="R1496" i="5"/>
  <c r="R1509" i="5"/>
  <c r="AC1509" i="5" s="1"/>
  <c r="R1536" i="5"/>
  <c r="AC1536" i="5" s="1"/>
  <c r="R1626" i="5"/>
  <c r="R1690" i="5"/>
  <c r="R1692" i="5"/>
  <c r="Y1692" i="5" s="1"/>
  <c r="R1694" i="5"/>
  <c r="L1716" i="5"/>
  <c r="Y1711" i="5"/>
  <c r="R1713" i="5"/>
  <c r="R1715" i="5"/>
  <c r="O1948" i="5"/>
  <c r="Y1992" i="5"/>
  <c r="AC1992" i="5"/>
  <c r="P2105" i="5"/>
  <c r="P2187" i="5"/>
  <c r="AC1987" i="5"/>
  <c r="AC1990" i="5"/>
  <c r="D2270" i="5" s="1"/>
  <c r="P2044" i="5"/>
  <c r="P2213" i="5"/>
  <c r="L2290" i="5"/>
  <c r="D2293" i="5"/>
  <c r="V414" i="5"/>
  <c r="V416" i="5"/>
  <c r="V418" i="5"/>
  <c r="O555" i="5"/>
  <c r="R909" i="5"/>
  <c r="Y909" i="5" s="1"/>
  <c r="G135" i="5"/>
  <c r="P148" i="5"/>
  <c r="K167" i="5"/>
  <c r="D313" i="5"/>
  <c r="E353" i="5"/>
  <c r="AC407" i="5"/>
  <c r="AC409" i="5"/>
  <c r="AC411" i="5"/>
  <c r="AC415" i="5"/>
  <c r="AC503" i="5"/>
  <c r="J565" i="5"/>
  <c r="Y565" i="5" s="1"/>
  <c r="O599" i="5"/>
  <c r="J668" i="5"/>
  <c r="N741" i="5"/>
  <c r="R767" i="5"/>
  <c r="D757" i="5" s="1"/>
  <c r="C925" i="5"/>
  <c r="R950" i="5"/>
  <c r="Y950" i="5" s="1"/>
  <c r="C1050" i="5"/>
  <c r="C1094" i="5"/>
  <c r="R1141" i="5"/>
  <c r="C1151" i="5"/>
  <c r="C1189" i="5"/>
  <c r="C1215" i="5"/>
  <c r="C1229" i="5"/>
  <c r="C1244" i="5"/>
  <c r="C1255" i="5"/>
  <c r="R1281" i="5"/>
  <c r="AC1281" i="5" s="1"/>
  <c r="C1291" i="5"/>
  <c r="C1317" i="5"/>
  <c r="C1340" i="5"/>
  <c r="C1396" i="5"/>
  <c r="C1413" i="5"/>
  <c r="C1472" i="5"/>
  <c r="R1691" i="5"/>
  <c r="R1728" i="5"/>
  <c r="R1729" i="5"/>
  <c r="Y1729" i="5" s="1"/>
  <c r="R1731" i="5"/>
  <c r="R1743" i="5"/>
  <c r="R1756" i="5"/>
  <c r="R1766" i="5"/>
  <c r="R1768" i="5"/>
  <c r="Y1984" i="5"/>
  <c r="AC1984" i="5"/>
  <c r="D2224" i="5" s="1"/>
  <c r="Q128" i="5"/>
  <c r="E149" i="5"/>
  <c r="E150" i="5" s="1"/>
  <c r="K171" i="5"/>
  <c r="Y222" i="5"/>
  <c r="V229" i="5"/>
  <c r="D230" i="5"/>
  <c r="D234" i="5" s="1"/>
  <c r="AB338" i="5"/>
  <c r="Y349" i="5"/>
  <c r="Y350" i="5"/>
  <c r="V351" i="5"/>
  <c r="AC352" i="5"/>
  <c r="Y370" i="5"/>
  <c r="Y371" i="5"/>
  <c r="E394" i="5"/>
  <c r="J421" i="5"/>
  <c r="T405" i="5"/>
  <c r="AC436" i="5"/>
  <c r="D433" i="5" s="1"/>
  <c r="O453" i="5"/>
  <c r="T453" i="5" s="1"/>
  <c r="AC465" i="5"/>
  <c r="Y489" i="5"/>
  <c r="Y480" i="5"/>
  <c r="Y481" i="5"/>
  <c r="Y482" i="5"/>
  <c r="Y483" i="5"/>
  <c r="Y484" i="5"/>
  <c r="Y485" i="5"/>
  <c r="Y486" i="5"/>
  <c r="Y487" i="5"/>
  <c r="E506" i="5"/>
  <c r="Y524" i="5"/>
  <c r="Y553" i="5"/>
  <c r="E555" i="5"/>
  <c r="Y555" i="5" s="1"/>
  <c r="T575" i="5"/>
  <c r="O650" i="5"/>
  <c r="R684" i="5"/>
  <c r="D678" i="5" s="1"/>
  <c r="J722" i="5"/>
  <c r="R778" i="5"/>
  <c r="D770" i="5" s="1"/>
  <c r="R787" i="5"/>
  <c r="D781" i="5" s="1"/>
  <c r="AC798" i="5"/>
  <c r="Y812" i="5"/>
  <c r="B813" i="5"/>
  <c r="C887" i="5"/>
  <c r="C915" i="5"/>
  <c r="R963" i="5"/>
  <c r="Y963" i="5" s="1"/>
  <c r="R979" i="5"/>
  <c r="Y979" i="5" s="1"/>
  <c r="C1023" i="5"/>
  <c r="C1068" i="5"/>
  <c r="C1153" i="5"/>
  <c r="C1307" i="5"/>
  <c r="C1342" i="5"/>
  <c r="C1355" i="5"/>
  <c r="C1370" i="5"/>
  <c r="C1383" i="5"/>
  <c r="C1461" i="5"/>
  <c r="C1464" i="5"/>
  <c r="C1474" i="5"/>
  <c r="C1488" i="5"/>
  <c r="C1501" i="5"/>
  <c r="C1541" i="5"/>
  <c r="C1559" i="5"/>
  <c r="A1570" i="5"/>
  <c r="R1589" i="5"/>
  <c r="R1603" i="5"/>
  <c r="C1598" i="5" s="1"/>
  <c r="R1614" i="5"/>
  <c r="Y1614" i="5" s="1"/>
  <c r="F1716" i="5"/>
  <c r="I1716" i="5"/>
  <c r="L1732" i="5"/>
  <c r="R1730" i="5"/>
  <c r="S1787" i="5"/>
  <c r="P1879" i="5"/>
  <c r="P1943" i="5"/>
  <c r="O1952" i="5"/>
  <c r="P2054" i="5"/>
  <c r="P2065" i="5" s="1"/>
  <c r="P2060" i="5"/>
  <c r="L2241" i="5"/>
  <c r="AC799" i="5"/>
  <c r="C820" i="5"/>
  <c r="R846" i="5"/>
  <c r="C857" i="5"/>
  <c r="C889" i="5"/>
  <c r="C900" i="5"/>
  <c r="R936" i="5"/>
  <c r="Y936" i="5" s="1"/>
  <c r="C971" i="5"/>
  <c r="R992" i="5"/>
  <c r="AC992" i="5" s="1"/>
  <c r="R1020" i="5"/>
  <c r="AC1020" i="5" s="1"/>
  <c r="R1047" i="5"/>
  <c r="AC1047" i="5" s="1"/>
  <c r="R1076" i="5"/>
  <c r="AC1076" i="5" s="1"/>
  <c r="R1102" i="5"/>
  <c r="AC1102" i="5" s="1"/>
  <c r="Q1134" i="5"/>
  <c r="R1173" i="5"/>
  <c r="AC1173" i="5" s="1"/>
  <c r="R1197" i="5"/>
  <c r="C1231" i="5"/>
  <c r="C1257" i="5"/>
  <c r="C1294" i="5"/>
  <c r="C1305" i="5"/>
  <c r="R1448" i="5"/>
  <c r="C1459" i="5"/>
  <c r="R1523" i="5"/>
  <c r="AC1523" i="5" s="1"/>
  <c r="C1526" i="5"/>
  <c r="C1539" i="5"/>
  <c r="C1557" i="5"/>
  <c r="R1570" i="5"/>
  <c r="R1586" i="5"/>
  <c r="R1588" i="5"/>
  <c r="J1590" i="5"/>
  <c r="C1631" i="5"/>
  <c r="R1662" i="5"/>
  <c r="R1693" i="5"/>
  <c r="R1695" i="5"/>
  <c r="F1732" i="5"/>
  <c r="R1741" i="5"/>
  <c r="R1752" i="5"/>
  <c r="R1754" i="5"/>
  <c r="R1755" i="5"/>
  <c r="Y1755" i="5" s="1"/>
  <c r="R1764" i="5"/>
  <c r="Y1764" i="5" s="1"/>
  <c r="O1769" i="5"/>
  <c r="R1765" i="5"/>
  <c r="Y1765" i="5" s="1"/>
  <c r="R1767" i="5"/>
  <c r="S1786" i="5"/>
  <c r="P1973" i="5"/>
  <c r="Y1988" i="5"/>
  <c r="AC1989" i="5"/>
  <c r="P2024" i="5"/>
  <c r="D2246" i="5"/>
  <c r="L2257" i="5"/>
  <c r="K172" i="5"/>
  <c r="D252" i="5"/>
  <c r="O446" i="5"/>
  <c r="O428" i="5"/>
  <c r="O435" i="5" s="1"/>
  <c r="G136" i="5"/>
  <c r="D154" i="5"/>
  <c r="P143" i="5"/>
  <c r="P147" i="5"/>
  <c r="D308" i="5"/>
  <c r="D319" i="5" s="1"/>
  <c r="D243" i="5"/>
  <c r="Q131" i="5"/>
  <c r="Q135" i="5" s="1"/>
  <c r="T143" i="5"/>
  <c r="E166" i="5"/>
  <c r="P144" i="5"/>
  <c r="K145" i="5"/>
  <c r="P169" i="5"/>
  <c r="D155" i="5"/>
  <c r="E165" i="5"/>
  <c r="E170" i="5"/>
  <c r="P170" i="5" s="1"/>
  <c r="AC221" i="5"/>
  <c r="AC222" i="5"/>
  <c r="AC223" i="5"/>
  <c r="AC224" i="5"/>
  <c r="AC225" i="5"/>
  <c r="J226" i="5"/>
  <c r="J234" i="5" s="1"/>
  <c r="Y234" i="5" s="1"/>
  <c r="V227" i="5"/>
  <c r="AC228" i="5"/>
  <c r="Y229" i="5"/>
  <c r="AC229" i="5"/>
  <c r="AC231" i="5"/>
  <c r="Y231" i="5"/>
  <c r="Y232" i="5"/>
  <c r="AC232" i="5"/>
  <c r="Y351" i="5"/>
  <c r="AC351" i="5"/>
  <c r="J369" i="5"/>
  <c r="J402" i="5" s="1"/>
  <c r="AC373" i="5"/>
  <c r="V373" i="5"/>
  <c r="Y389" i="5"/>
  <c r="AC389" i="5"/>
  <c r="AC391" i="5"/>
  <c r="V391" i="5"/>
  <c r="T391" i="5"/>
  <c r="AC392" i="5"/>
  <c r="V392" i="5"/>
  <c r="T392" i="5"/>
  <c r="AC393" i="5"/>
  <c r="V393" i="5"/>
  <c r="T393" i="5"/>
  <c r="T421" i="5"/>
  <c r="AC421" i="5"/>
  <c r="T404" i="5"/>
  <c r="T407" i="5"/>
  <c r="V407" i="5"/>
  <c r="T408" i="5"/>
  <c r="Y409" i="5"/>
  <c r="V409" i="5"/>
  <c r="AC453" i="5"/>
  <c r="AC489" i="5"/>
  <c r="V489" i="5"/>
  <c r="T489" i="5"/>
  <c r="E475" i="5"/>
  <c r="T555" i="5"/>
  <c r="AC555" i="5"/>
  <c r="V555" i="5"/>
  <c r="AC565" i="5"/>
  <c r="V565" i="5"/>
  <c r="Y1694" i="5"/>
  <c r="AC1694" i="5"/>
  <c r="Y1731" i="5"/>
  <c r="AC1731" i="5"/>
  <c r="Y1753" i="5"/>
  <c r="AC1753" i="5"/>
  <c r="L129" i="5"/>
  <c r="Q126" i="5"/>
  <c r="L135" i="5"/>
  <c r="AC230" i="5"/>
  <c r="J353" i="5"/>
  <c r="AC349" i="5"/>
  <c r="V349" i="5"/>
  <c r="AF335" i="5"/>
  <c r="T349" i="5"/>
  <c r="AC350" i="5"/>
  <c r="V350" i="5"/>
  <c r="T350" i="5"/>
  <c r="J374" i="5"/>
  <c r="AC370" i="5"/>
  <c r="V370" i="5"/>
  <c r="T370" i="5"/>
  <c r="AC371" i="5"/>
  <c r="V371" i="5"/>
  <c r="C366" i="5" s="1"/>
  <c r="T371" i="5"/>
  <c r="V372" i="5"/>
  <c r="J394" i="5"/>
  <c r="AC387" i="5"/>
  <c r="V387" i="5"/>
  <c r="T387" i="5"/>
  <c r="AC388" i="5"/>
  <c r="V388" i="5"/>
  <c r="T388" i="5"/>
  <c r="Y403" i="5"/>
  <c r="E421" i="5"/>
  <c r="Y421" i="5" s="1"/>
  <c r="AC403" i="5"/>
  <c r="AC466" i="5"/>
  <c r="E456" i="5" s="1"/>
  <c r="AC1336" i="5"/>
  <c r="C1322" i="5"/>
  <c r="AC1390" i="5"/>
  <c r="C1385" i="5"/>
  <c r="Y1448" i="5"/>
  <c r="AC1448" i="5"/>
  <c r="B1443" i="5"/>
  <c r="Y1690" i="5"/>
  <c r="AC1690" i="5"/>
  <c r="Y1714" i="5"/>
  <c r="AC1714" i="5"/>
  <c r="Y1767" i="5"/>
  <c r="AC1767" i="5"/>
  <c r="T413" i="5"/>
  <c r="Y413" i="5"/>
  <c r="V415" i="5"/>
  <c r="V419" i="5"/>
  <c r="V448" i="5"/>
  <c r="AC448" i="5"/>
  <c r="V451" i="5"/>
  <c r="V464" i="5"/>
  <c r="E466" i="5"/>
  <c r="Y466" i="5" s="1"/>
  <c r="AC479" i="5"/>
  <c r="V481" i="5"/>
  <c r="V482" i="5"/>
  <c r="AC484" i="5"/>
  <c r="V486" i="5"/>
  <c r="V543" i="5"/>
  <c r="E536" i="5" s="1"/>
  <c r="AC543" i="5"/>
  <c r="Y554" i="5"/>
  <c r="R760" i="5"/>
  <c r="R773" i="5" s="1"/>
  <c r="R784" i="5" s="1"/>
  <c r="R694" i="5"/>
  <c r="R1060" i="5"/>
  <c r="R1089" i="5"/>
  <c r="AC1148" i="5"/>
  <c r="C1144" i="5" s="1"/>
  <c r="R1183" i="5"/>
  <c r="R1226" i="5"/>
  <c r="A1239" i="5"/>
  <c r="C1234" i="5"/>
  <c r="R1252" i="5"/>
  <c r="A1288" i="5"/>
  <c r="A1302" i="5"/>
  <c r="C1297" i="5"/>
  <c r="AC1570" i="5"/>
  <c r="C1564" i="5"/>
  <c r="AC1692" i="5"/>
  <c r="AC1693" i="5"/>
  <c r="Y1693" i="5"/>
  <c r="R1710" i="5"/>
  <c r="AC1712" i="5"/>
  <c r="AC1713" i="5"/>
  <c r="Y1713" i="5"/>
  <c r="R1727" i="5"/>
  <c r="AC1729" i="5"/>
  <c r="AC1730" i="5"/>
  <c r="Y1730" i="5"/>
  <c r="R1742" i="5"/>
  <c r="V411" i="5"/>
  <c r="V417" i="5"/>
  <c r="V447" i="5"/>
  <c r="AC447" i="5"/>
  <c r="T450" i="5"/>
  <c r="Y450" i="5"/>
  <c r="E453" i="5"/>
  <c r="Y453" i="5" s="1"/>
  <c r="V479" i="5"/>
  <c r="V503" i="5"/>
  <c r="E495" i="5" s="1"/>
  <c r="V513" i="5"/>
  <c r="V533" i="5"/>
  <c r="V553" i="5"/>
  <c r="AC553" i="5"/>
  <c r="Y563" i="5"/>
  <c r="V564" i="5"/>
  <c r="AC564" i="5"/>
  <c r="F681" i="5"/>
  <c r="F760" i="5" s="1"/>
  <c r="F773" i="5" s="1"/>
  <c r="F784" i="5" s="1"/>
  <c r="O725" i="5"/>
  <c r="R709" i="5"/>
  <c r="R722" i="5" s="1"/>
  <c r="D724" i="5" s="1"/>
  <c r="S749" i="5"/>
  <c r="AC813" i="5"/>
  <c r="R897" i="5"/>
  <c r="C892" i="5" s="1"/>
  <c r="R1007" i="5"/>
  <c r="R1034" i="5"/>
  <c r="A1173" i="5"/>
  <c r="C1168" i="5"/>
  <c r="A1197" i="5"/>
  <c r="A1210" i="5"/>
  <c r="C1205" i="5"/>
  <c r="R1314" i="5"/>
  <c r="R1456" i="5"/>
  <c r="K149" i="5"/>
  <c r="V221" i="5"/>
  <c r="D240" i="5" s="1"/>
  <c r="V222" i="5"/>
  <c r="V223" i="5"/>
  <c r="V224" i="5"/>
  <c r="V225" i="5"/>
  <c r="V228" i="5"/>
  <c r="V231" i="5"/>
  <c r="V233" i="5"/>
  <c r="V352" i="5"/>
  <c r="O369" i="5"/>
  <c r="V390" i="5"/>
  <c r="T403" i="5"/>
  <c r="V413" i="5"/>
  <c r="V420" i="5"/>
  <c r="V429" i="5"/>
  <c r="D425" i="5" s="1"/>
  <c r="V436" i="5"/>
  <c r="D432" i="5" s="1"/>
  <c r="V449" i="5"/>
  <c r="V450" i="5"/>
  <c r="V452" i="5"/>
  <c r="V465" i="5"/>
  <c r="Y479" i="5"/>
  <c r="V480" i="5"/>
  <c r="V483" i="5"/>
  <c r="V485" i="5"/>
  <c r="V487" i="5"/>
  <c r="V524" i="5"/>
  <c r="V554" i="5"/>
  <c r="V563" i="5"/>
  <c r="O589" i="5"/>
  <c r="C582" i="5" s="1"/>
  <c r="J650" i="5"/>
  <c r="J759" i="5"/>
  <c r="J772" i="5" s="1"/>
  <c r="J783" i="5" s="1"/>
  <c r="J680" i="5"/>
  <c r="R673" i="5"/>
  <c r="D667" i="5" s="1"/>
  <c r="AC736" i="5"/>
  <c r="AC738" i="5"/>
  <c r="AC740" i="5"/>
  <c r="I741" i="5"/>
  <c r="AC741" i="5" s="1"/>
  <c r="N752" i="5"/>
  <c r="AC751" i="5"/>
  <c r="I752" i="5"/>
  <c r="S797" i="5"/>
  <c r="S799" i="5"/>
  <c r="S801" i="5"/>
  <c r="Y813" i="5"/>
  <c r="C807" i="5" s="1"/>
  <c r="AC909" i="5"/>
  <c r="C905" i="5"/>
  <c r="R922" i="5"/>
  <c r="AC936" i="5"/>
  <c r="C930" i="5" s="1"/>
  <c r="AC950" i="5"/>
  <c r="C945" i="5" s="1"/>
  <c r="AC963" i="5"/>
  <c r="C958" i="5" s="1"/>
  <c r="AC979" i="5"/>
  <c r="C974" i="5" s="1"/>
  <c r="C987" i="5"/>
  <c r="C1042" i="5"/>
  <c r="C1071" i="5"/>
  <c r="C1097" i="5"/>
  <c r="Y1148" i="5"/>
  <c r="A1162" i="5"/>
  <c r="Y1162" i="5"/>
  <c r="C1157" i="5" s="1"/>
  <c r="Y1281" i="5"/>
  <c r="C1276" i="5" s="1"/>
  <c r="A1350" i="5"/>
  <c r="C1345" i="5"/>
  <c r="Y1350" i="5"/>
  <c r="A1363" i="5"/>
  <c r="Y1363" i="5"/>
  <c r="C1358" i="5" s="1"/>
  <c r="A1378" i="5"/>
  <c r="C1373" i="5"/>
  <c r="A1408" i="5"/>
  <c r="AC1408" i="5"/>
  <c r="Y1408" i="5"/>
  <c r="C1399" i="5" s="1"/>
  <c r="AC1483" i="5"/>
  <c r="Y1483" i="5"/>
  <c r="C1477" i="5" s="1"/>
  <c r="AC1496" i="5"/>
  <c r="Y1496" i="5"/>
  <c r="C1491" i="5" s="1"/>
  <c r="AC1581" i="5"/>
  <c r="C1575" i="5" s="1"/>
  <c r="AC1626" i="5"/>
  <c r="C1621" i="5" s="1"/>
  <c r="Y1626" i="5"/>
  <c r="R1638" i="5"/>
  <c r="B1657" i="5"/>
  <c r="AC1662" i="5"/>
  <c r="R1689" i="5"/>
  <c r="B1696" i="5"/>
  <c r="O1696" i="5"/>
  <c r="Y1740" i="5"/>
  <c r="R1744" i="5"/>
  <c r="AC1740" i="5"/>
  <c r="AC1741" i="5"/>
  <c r="Y1741" i="5"/>
  <c r="Y1743" i="5"/>
  <c r="AC1743" i="5"/>
  <c r="AC1755" i="5"/>
  <c r="AC1756" i="5"/>
  <c r="Y1756" i="5"/>
  <c r="F1769" i="5"/>
  <c r="L1769" i="5"/>
  <c r="C1781" i="5"/>
  <c r="S1788" i="5"/>
  <c r="T573" i="5"/>
  <c r="S796" i="5"/>
  <c r="N802" i="5" s="1"/>
  <c r="AC812" i="5"/>
  <c r="A1421" i="5"/>
  <c r="C1416" i="5"/>
  <c r="A1483" i="5"/>
  <c r="A1496" i="5"/>
  <c r="A1509" i="5"/>
  <c r="C1504" i="5"/>
  <c r="A1536" i="5"/>
  <c r="C1531" i="5"/>
  <c r="R1549" i="5"/>
  <c r="N1590" i="5"/>
  <c r="R1587" i="5"/>
  <c r="R1590" i="5" s="1"/>
  <c r="AC1614" i="5"/>
  <c r="C1608" i="5"/>
  <c r="N1680" i="5"/>
  <c r="F1696" i="5"/>
  <c r="L1696" i="5"/>
  <c r="R1688" i="5"/>
  <c r="B1716" i="5"/>
  <c r="B1732" i="5"/>
  <c r="I1732" i="5"/>
  <c r="O1732" i="5"/>
  <c r="L1744" i="5"/>
  <c r="AC1752" i="5"/>
  <c r="Y1752" i="5"/>
  <c r="I1757" i="5"/>
  <c r="B1757" i="5"/>
  <c r="AC1765" i="5"/>
  <c r="AC1766" i="5"/>
  <c r="Y1766" i="5"/>
  <c r="P1980" i="5"/>
  <c r="P1993" i="5"/>
  <c r="AC1981" i="5"/>
  <c r="AC1985" i="5"/>
  <c r="B1744" i="5"/>
  <c r="I1744" i="5"/>
  <c r="O1744" i="5"/>
  <c r="F1757" i="5"/>
  <c r="L1757" i="5"/>
  <c r="R1751" i="5"/>
  <c r="AC1764" i="5"/>
  <c r="B1769" i="5"/>
  <c r="S1785" i="5"/>
  <c r="I1952" i="5"/>
  <c r="Y1985" i="5"/>
  <c r="Y1987" i="5"/>
  <c r="D2260" i="5"/>
  <c r="Y1991" i="5"/>
  <c r="P2221" i="5"/>
  <c r="L2231" i="5"/>
  <c r="L2279" i="5"/>
  <c r="I1948" i="5"/>
  <c r="Y1981" i="5"/>
  <c r="D1996" i="5" s="1"/>
  <c r="Y1982" i="5"/>
  <c r="D2068" i="5" s="1"/>
  <c r="Y1983" i="5"/>
  <c r="D2108" i="5" s="1"/>
  <c r="Y1989" i="5"/>
  <c r="J1993" i="5"/>
  <c r="AC1768" i="5" l="1"/>
  <c r="Y1768" i="5"/>
  <c r="D2234" i="5"/>
  <c r="E549" i="5"/>
  <c r="AC1141" i="5"/>
  <c r="Y1141" i="5"/>
  <c r="C1137" i="5"/>
  <c r="AC1715" i="5"/>
  <c r="Y1715" i="5"/>
  <c r="AC1695" i="5"/>
  <c r="Y1695" i="5"/>
  <c r="R1769" i="5"/>
  <c r="C1760" i="5" s="1"/>
  <c r="AC1197" i="5"/>
  <c r="Y1197" i="5"/>
  <c r="AC1728" i="5"/>
  <c r="Y1728" i="5"/>
  <c r="AC1754" i="5"/>
  <c r="Y1754" i="5"/>
  <c r="C1015" i="5"/>
  <c r="Y230" i="5"/>
  <c r="P171" i="5"/>
  <c r="AC846" i="5"/>
  <c r="Y846" i="5"/>
  <c r="C841" i="5" s="1"/>
  <c r="C1518" i="5"/>
  <c r="AC1691" i="5"/>
  <c r="Y1691" i="5"/>
  <c r="AC1288" i="5"/>
  <c r="C1284" i="5" s="1"/>
  <c r="Y1288" i="5"/>
  <c r="V230" i="5"/>
  <c r="Y1993" i="5"/>
  <c r="C1976" i="5"/>
  <c r="AC1993" i="5"/>
  <c r="R1696" i="5"/>
  <c r="Y1688" i="5"/>
  <c r="AC1688" i="5"/>
  <c r="Y1549" i="5"/>
  <c r="AC1549" i="5"/>
  <c r="Y1769" i="5"/>
  <c r="Y1638" i="5"/>
  <c r="AC1638" i="5"/>
  <c r="C1634" i="5" s="1"/>
  <c r="Y922" i="5"/>
  <c r="AC922" i="5"/>
  <c r="C918" i="5" s="1"/>
  <c r="AC802" i="5"/>
  <c r="C792" i="5" s="1"/>
  <c r="AC752" i="5"/>
  <c r="C744" i="5" s="1"/>
  <c r="S752" i="5"/>
  <c r="T650" i="5"/>
  <c r="C640" i="5"/>
  <c r="Y1456" i="5"/>
  <c r="AC1456" i="5"/>
  <c r="AC1034" i="5"/>
  <c r="C1028" i="5" s="1"/>
  <c r="AC1226" i="5"/>
  <c r="C1218" i="5" s="1"/>
  <c r="AC1089" i="5"/>
  <c r="C1084" i="5" s="1"/>
  <c r="S802" i="5"/>
  <c r="T394" i="5"/>
  <c r="AC394" i="5"/>
  <c r="D396" i="5" s="1"/>
  <c r="V394" i="5"/>
  <c r="T374" i="5"/>
  <c r="AC374" i="5"/>
  <c r="C376" i="5" s="1"/>
  <c r="V374" i="5"/>
  <c r="B355" i="5"/>
  <c r="T353" i="5"/>
  <c r="AC353" i="5"/>
  <c r="B356" i="5" s="1"/>
  <c r="V353" i="5"/>
  <c r="L136" i="5"/>
  <c r="Q129" i="5"/>
  <c r="Q136" i="5" s="1"/>
  <c r="V453" i="5"/>
  <c r="D441" i="5" s="1"/>
  <c r="Y374" i="5"/>
  <c r="AC226" i="5"/>
  <c r="V226" i="5"/>
  <c r="E171" i="5"/>
  <c r="Y353" i="5"/>
  <c r="O478" i="5"/>
  <c r="O463" i="5"/>
  <c r="R1757" i="5"/>
  <c r="Y1751" i="5"/>
  <c r="AC1751" i="5"/>
  <c r="Y1744" i="5"/>
  <c r="AC1744" i="5"/>
  <c r="C1735" i="5"/>
  <c r="AC1689" i="5"/>
  <c r="Y1689" i="5"/>
  <c r="D157" i="5"/>
  <c r="P149" i="5"/>
  <c r="Y1314" i="5"/>
  <c r="C1309" i="5" s="1"/>
  <c r="AC1314" i="5"/>
  <c r="AC1007" i="5"/>
  <c r="C1002" i="5"/>
  <c r="N795" i="5"/>
  <c r="B811" i="5"/>
  <c r="B845" i="5" s="1"/>
  <c r="B853" i="5" s="1"/>
  <c r="B861" i="5" s="1"/>
  <c r="B869" i="5" s="1"/>
  <c r="B883" i="5" s="1"/>
  <c r="B896" i="5" s="1"/>
  <c r="B908" i="5" s="1"/>
  <c r="B921" i="5" s="1"/>
  <c r="B935" i="5" s="1"/>
  <c r="B949" i="5" s="1"/>
  <c r="B962" i="5" s="1"/>
  <c r="B978" i="5" s="1"/>
  <c r="B991" i="5" s="1"/>
  <c r="B1006" i="5" s="1"/>
  <c r="B1019" i="5" s="1"/>
  <c r="B1033" i="5" s="1"/>
  <c r="B1046" i="5" s="1"/>
  <c r="AC1742" i="5"/>
  <c r="Y1742" i="5"/>
  <c r="Y1727" i="5"/>
  <c r="AC1727" i="5"/>
  <c r="R1732" i="5"/>
  <c r="R1716" i="5"/>
  <c r="Y1710" i="5"/>
  <c r="AC1710" i="5"/>
  <c r="AC1252" i="5"/>
  <c r="C1247" i="5"/>
  <c r="AC1183" i="5"/>
  <c r="C1178" i="5"/>
  <c r="AC1060" i="5"/>
  <c r="C1055" i="5"/>
  <c r="D731" i="5"/>
  <c r="R811" i="5"/>
  <c r="R845" i="5" s="1"/>
  <c r="R853" i="5" s="1"/>
  <c r="R861" i="5" s="1"/>
  <c r="R869" i="5" s="1"/>
  <c r="R883" i="5" s="1"/>
  <c r="R896" i="5" s="1"/>
  <c r="R908" i="5" s="1"/>
  <c r="R921" i="5" s="1"/>
  <c r="R935" i="5" s="1"/>
  <c r="R949" i="5" s="1"/>
  <c r="R962" i="5" s="1"/>
  <c r="R978" i="5" s="1"/>
  <c r="R991" i="5" s="1"/>
  <c r="R1006" i="5" s="1"/>
  <c r="R1019" i="5" s="1"/>
  <c r="R1033" i="5" s="1"/>
  <c r="R1046" i="5" s="1"/>
  <c r="I795" i="5"/>
  <c r="V466" i="5"/>
  <c r="V234" i="5"/>
  <c r="C215" i="5" s="1"/>
  <c r="AC234" i="5"/>
  <c r="C236" i="5" s="1"/>
  <c r="V421" i="5"/>
  <c r="D399" i="5" s="1"/>
  <c r="J428" i="5"/>
  <c r="J435" i="5" s="1"/>
  <c r="J446" i="5"/>
  <c r="J463" i="5" s="1"/>
  <c r="J478" i="5" s="1"/>
  <c r="E167" i="5"/>
  <c r="P165" i="5"/>
  <c r="D156" i="5"/>
  <c r="P145" i="5"/>
  <c r="K150" i="5"/>
  <c r="T145" i="5"/>
  <c r="P166" i="5"/>
  <c r="T166" i="5"/>
  <c r="D175" i="5" s="1"/>
  <c r="Y394" i="5"/>
  <c r="Y226" i="5"/>
  <c r="AC1769" i="5" l="1"/>
  <c r="P167" i="5"/>
  <c r="P172" i="5" s="1"/>
  <c r="C1544" i="5"/>
  <c r="D380" i="5"/>
  <c r="C1451" i="5"/>
  <c r="C1977" i="5"/>
  <c r="C1192" i="5"/>
  <c r="R1088" i="5"/>
  <c r="R1059" i="5"/>
  <c r="R1075" i="5" s="1"/>
  <c r="B1088" i="5"/>
  <c r="B1059" i="5"/>
  <c r="B1075" i="5" s="1"/>
  <c r="AC1696" i="5"/>
  <c r="Y1696" i="5"/>
  <c r="C1683" i="5"/>
  <c r="D423" i="5"/>
  <c r="J538" i="5"/>
  <c r="J551" i="5" s="1"/>
  <c r="J561" i="5" s="1"/>
  <c r="J498" i="5"/>
  <c r="J509" i="5" s="1"/>
  <c r="J521" i="5" s="1"/>
  <c r="J530" i="5" s="1"/>
  <c r="AC1716" i="5"/>
  <c r="C1704" i="5"/>
  <c r="Y1716" i="5"/>
  <c r="AC1757" i="5"/>
  <c r="Y1757" i="5"/>
  <c r="O538" i="5"/>
  <c r="O551" i="5" s="1"/>
  <c r="O561" i="5" s="1"/>
  <c r="O498" i="5"/>
  <c r="O509" i="5" s="1"/>
  <c r="O521" i="5" s="1"/>
  <c r="O530" i="5" s="1"/>
  <c r="P150" i="5"/>
  <c r="T150" i="5"/>
  <c r="E172" i="5"/>
  <c r="T172" i="5" s="1"/>
  <c r="D177" i="5" s="1"/>
  <c r="T167" i="5"/>
  <c r="Y1732" i="5"/>
  <c r="AC1732" i="5"/>
  <c r="C1719" i="5"/>
  <c r="C1747" i="5" l="1"/>
  <c r="D158" i="5"/>
  <c r="B1140" i="5"/>
  <c r="B1147" i="5" s="1"/>
  <c r="B1161" i="5" s="1"/>
  <c r="B1172" i="5" s="1"/>
  <c r="B1182" i="5" s="1"/>
  <c r="B1101" i="5"/>
  <c r="R1140" i="5"/>
  <c r="R1147" i="5" s="1"/>
  <c r="R1161" i="5" s="1"/>
  <c r="R1172" i="5" s="1"/>
  <c r="R1182" i="5" s="1"/>
  <c r="R1101" i="5"/>
  <c r="R1209" i="5" l="1"/>
  <c r="R1225" i="5" s="1"/>
  <c r="R1238" i="5" s="1"/>
  <c r="R1196" i="5"/>
  <c r="B1209" i="5"/>
  <c r="B1225" i="5" s="1"/>
  <c r="B1238" i="5" s="1"/>
  <c r="B1196" i="5"/>
  <c r="B1280" i="5" l="1"/>
  <c r="B1287" i="5" s="1"/>
  <c r="B1301" i="5" s="1"/>
  <c r="B1313" i="5" s="1"/>
  <c r="B1335" i="5" s="1"/>
  <c r="B1349" i="5" s="1"/>
  <c r="B1362" i="5" s="1"/>
  <c r="B1377" i="5" s="1"/>
  <c r="B1389" i="5" s="1"/>
  <c r="B1407" i="5" s="1"/>
  <c r="B1251" i="5"/>
  <c r="R1251" i="5"/>
  <c r="R1280" i="5"/>
  <c r="R1287" i="5" s="1"/>
  <c r="R1301" i="5" s="1"/>
  <c r="R1313" i="5" s="1"/>
  <c r="R1335" i="5" s="1"/>
  <c r="R1349" i="5" s="1"/>
  <c r="R1362" i="5" s="1"/>
  <c r="R1377" i="5" s="1"/>
  <c r="R1389" i="5" s="1"/>
  <c r="R1407" i="5" s="1"/>
  <c r="R1763" i="5" l="1"/>
  <c r="R1739" i="5"/>
  <c r="R1750" i="5" s="1"/>
  <c r="R1687" i="5"/>
  <c r="R1709" i="5" s="1"/>
  <c r="R1726" i="5" s="1"/>
  <c r="R1661" i="5"/>
  <c r="R1580" i="5"/>
  <c r="R1569" i="5"/>
  <c r="R1522" i="5"/>
  <c r="R1468" i="5"/>
  <c r="R1455" i="5"/>
  <c r="R1447" i="5"/>
  <c r="R1602" i="5"/>
  <c r="R1613" i="5" s="1"/>
  <c r="R1625" i="5" s="1"/>
  <c r="R1637" i="5" s="1"/>
  <c r="R1535" i="5"/>
  <c r="R1548" i="5" s="1"/>
  <c r="R1495" i="5"/>
  <c r="R1508" i="5" s="1"/>
  <c r="R1482" i="5"/>
  <c r="R1420" i="5"/>
  <c r="B1763" i="5"/>
  <c r="B1602" i="5"/>
  <c r="B1613" i="5" s="1"/>
  <c r="B1625" i="5" s="1"/>
  <c r="B1637" i="5" s="1"/>
  <c r="B1535" i="5"/>
  <c r="B1548" i="5" s="1"/>
  <c r="B1495" i="5"/>
  <c r="B1508" i="5" s="1"/>
  <c r="B1482" i="5"/>
  <c r="B1420" i="5"/>
  <c r="B1661" i="5"/>
  <c r="B1455" i="5"/>
  <c r="B1447" i="5"/>
  <c r="B1569" i="5"/>
  <c r="B1468" i="5"/>
  <c r="B1739" i="5"/>
  <c r="B1750" i="5" s="1"/>
  <c r="B1687" i="5"/>
  <c r="B1709" i="5" s="1"/>
  <c r="B1726" i="5" s="1"/>
  <c r="B1580" i="5"/>
  <c r="B1522" i="5"/>
</calcChain>
</file>

<file path=xl/sharedStrings.xml><?xml version="1.0" encoding="utf-8"?>
<sst xmlns="http://schemas.openxmlformats.org/spreadsheetml/2006/main" count="2478" uniqueCount="970">
  <si>
    <t>URAIAN</t>
  </si>
  <si>
    <t>Belanja Pegawai</t>
  </si>
  <si>
    <t>BELANJA MODAL</t>
  </si>
  <si>
    <t>Kas di Bendahara Penerimaan</t>
  </si>
  <si>
    <t>Kas di Bendahara Pengeluaran</t>
  </si>
  <si>
    <t>Kas di BLUD</t>
  </si>
  <si>
    <t>Kas Lainnya</t>
  </si>
  <si>
    <t>Investasi Jangka Pendek</t>
  </si>
  <si>
    <t>Piutang Pendapatan</t>
  </si>
  <si>
    <t>Penyisihan Piutang</t>
  </si>
  <si>
    <t>Persediaan</t>
  </si>
  <si>
    <t>Tanah</t>
  </si>
  <si>
    <t>Peralatan dan Mesin</t>
  </si>
  <si>
    <t>Gedung dan Bangunan</t>
  </si>
  <si>
    <t>Aset Tetap Lainnya</t>
  </si>
  <si>
    <t>Akumulasi Penyusutan</t>
  </si>
  <si>
    <t>DANA CADANGAN</t>
  </si>
  <si>
    <t>ASET LAINNYA</t>
  </si>
  <si>
    <t>Aset Tidak Berwujud</t>
  </si>
  <si>
    <t>Utang Perhitungan Pihak Ketiga (PFK)</t>
  </si>
  <si>
    <t>Utang Bunga</t>
  </si>
  <si>
    <t>Pendapatan Diterima Dimuka</t>
  </si>
  <si>
    <t>Utang Jangka Pendek Lainnya</t>
  </si>
  <si>
    <t>Beban Persediaan</t>
  </si>
  <si>
    <t>Beban Jasa</t>
  </si>
  <si>
    <t>Beban Pemeliharaan</t>
  </si>
  <si>
    <t>Beban Perjalanan Dinas</t>
  </si>
  <si>
    <t>Beban Bunga</t>
  </si>
  <si>
    <t>Beban Subsidi</t>
  </si>
  <si>
    <t>Beban Hibah</t>
  </si>
  <si>
    <t>Beban Bantuan Sosial</t>
  </si>
  <si>
    <t>Beban Penyusutan dan Amortisasi</t>
  </si>
  <si>
    <t>Beban Lain-lain</t>
  </si>
  <si>
    <t>Utang Belanja</t>
  </si>
  <si>
    <t>PENDAPATAN ASLI DAERAH</t>
  </si>
  <si>
    <t>Pendapatan Pajak Daerah</t>
  </si>
  <si>
    <t>Pendapatan Retribusi Daerah</t>
  </si>
  <si>
    <t>Pendapatan Dana Darurat</t>
  </si>
  <si>
    <t>Pendapatan Lainnya</t>
  </si>
  <si>
    <t>Hibah</t>
  </si>
  <si>
    <t>%</t>
  </si>
  <si>
    <t>-</t>
  </si>
  <si>
    <t>V. CATATAN ATAS LAPORAN KEUANGAN</t>
  </si>
  <si>
    <t>BAB  I</t>
  </si>
  <si>
    <t>PENDAHULUAN</t>
  </si>
  <si>
    <t>1.1</t>
  </si>
  <si>
    <t>Maksud Dan Tujuan Penyusunan Laporan Keuangan</t>
  </si>
  <si>
    <t>a.</t>
  </si>
  <si>
    <t>Maksud</t>
  </si>
  <si>
    <t>b.</t>
  </si>
  <si>
    <t>Tujuan</t>
  </si>
  <si>
    <t>Tujuan umum laporan keuangan adalah menyajikan informasi mengenai posisi keuangan, realisasi anggaran, dan kinerja keuangan suatu entitas akuntansi yang bermanfaat bagi para pengguna dalam membuat dan mengevaluasi keputusan mengenai alokasi sumber daya, dengan :</t>
  </si>
  <si>
    <t>Untuk mewujudkannya  akan dilakukan beberapa langkah-langkah strategis sebagai berikut:</t>
  </si>
  <si>
    <t>menyediakan informasi mengenai sumber daya ekonomi, kewajiban, dan ekuitas dana pemerintah;</t>
  </si>
  <si>
    <t>menyedikan informasi mengenai perubahan posisi sumber daya ekonomi. kewajiban, dan ekuitas dana pemerintah;</t>
  </si>
  <si>
    <t>menyediakan informasi mengenai sumber, alokasi dan penggunaan sumber ekonomi;</t>
  </si>
  <si>
    <t>menyediakan informasi mengenai ketaatan realisasi terhadap anggarannya;</t>
  </si>
  <si>
    <t>menyediakan informasi mengenai cara entitas pelaporan mendanai aktivitasnya dan memenuhi kebutuhan kasnya;</t>
  </si>
  <si>
    <t>menyediakan informasi mengenai potensi pemerintah untuk membiayai penyelenggaraan pemerintahan;</t>
  </si>
  <si>
    <t>menyediakan informasi yang berguna untuk mengevaluasi kemampuan entitas pelaporan dalam mendanai aktivitasnya.</t>
  </si>
  <si>
    <r>
      <t>Tujuan spesifik laporan keuangan</t>
    </r>
    <r>
      <rPr>
        <b/>
        <sz val="11"/>
        <color indexed="8"/>
        <rFont val="Bookman Old Style"/>
        <family val="1"/>
      </rPr>
      <t xml:space="preserve"> </t>
    </r>
    <r>
      <rPr>
        <sz val="11"/>
        <color indexed="8"/>
        <rFont val="Bookman Old Style"/>
        <family val="1"/>
      </rPr>
      <t>adalah untuk menyajikan informasi yang berguna untuk pengambilan keputusan dan untuk menunjukkan transparansi dan akuntabilitas entitas akuntansi atas sumber daya yang dipercayakan kepadanya sebagai bentuk pertanggungjawaban atas pelaksanaan APBD.</t>
    </r>
  </si>
  <si>
    <t xml:space="preserve">1.      Laporan Realisasi Anggaran </t>
  </si>
  <si>
    <t>2.      Neraca</t>
  </si>
  <si>
    <t>3.      Laporan Operasional</t>
  </si>
  <si>
    <t>4.      Laporan Perubahan Ekuitas</t>
  </si>
  <si>
    <t>5.      Catatan Atas Laporan Keuangan</t>
  </si>
  <si>
    <t>1.2</t>
  </si>
  <si>
    <t>Landasan Hukum</t>
  </si>
  <si>
    <t>Suatu entitas pelaporan mengungkapkan hal – hal berikut ini apabila belum diungkapkan dalam bagian manapun dari laporan keuangan, antara lain :</t>
  </si>
  <si>
    <t>Undang-undang Nomor 17 Tahun 2003 tentang Keuangan Negara;</t>
  </si>
  <si>
    <t>Undang-undang Nomor 1 Tahun 2004 tentang Perbendaharaan Negara;</t>
  </si>
  <si>
    <t xml:space="preserve">Undang-undang Nomor 23 Tahun 2014  tentang Pemerintahan Daerah  sebagaimana telah diubah terakhir dengan Undang-undang Nomor 9 Tahun 2015 tentang Perubahan Kedua Atas Undang-undang Nomor 23 Tahun 2014 tentang Pemerintahan Daerah; </t>
  </si>
  <si>
    <t>Undang-undang Nomor 33 Tahun 2004, tentang Perimbangan Keuangan antara Pemerintah Pusat dan Pemerintah Daerah;</t>
  </si>
  <si>
    <t>Undang-undang Nomor 28 Tahun 2009, tentang Pajak Daerah  dan Retribusi Daerah;</t>
  </si>
  <si>
    <t>Peraturan Pemerintah Nomor 23 tahun 2005 tentang Pengelolaan Keuangan Badan Layanan Umum;</t>
  </si>
  <si>
    <t>Peraturan Pemerintah Nomor 55 tahun 2005 tentang Dana Perimbangan;</t>
  </si>
  <si>
    <t>Peraturan Pemerintah Nomor 58 tahun 2005 tentang Pengelolaan Keuangan Daerah;</t>
  </si>
  <si>
    <t>Peraturan Pemerintah Nomor 8 Tahun 2006 tentang Pelaporan Keuangan dan Kinerja Instansi Pemerintah;</t>
  </si>
  <si>
    <t>Peraturan Pemerintah Nomor 71 Tahun 2010 tentang Standar Akuntansi Pemerintahan;</t>
  </si>
  <si>
    <t>Peraturan Pemerintah Nomor 27 Tahun 2014 tentang Pengelolaan Barang Milik Negara/Daerah;</t>
  </si>
  <si>
    <t>Peraturan Pemerintah Nomor 38 Tahun 2016 tentang Tata Cara Tuntutan Ganti Kerugian Negara/Daerah Terhadap Pegawai Negeri Bukan Bendahara atau Pejabat Lain;</t>
  </si>
  <si>
    <t>Peraturan Badan Pemeriksa Keuangan RI Nomor 3 Tahun 2007 tentang Tata Cara Penyelesaian Ganti Keugian Negara;</t>
  </si>
  <si>
    <t>Peraturan Menteri Dalam Negeri Nomor 5 Tahun 1997 tentang Tuntutan Perbendaharaan dan Tuntutan Ganti Rugi Keuangan dan Barang Daerah;</t>
  </si>
  <si>
    <t>Peraturan Menteri Dalam Negeri Nomor 61 Tahun 2007 tentang Pedoman Teknis Pengelolaan Badan Layanan Umum Daerah;</t>
  </si>
  <si>
    <t>Peraturan Menteri Dalam Negeri Nomor 21 Tahun 2011 tentang   Perubahan Kedua Atas Peraturan Menteri Dalam Negeri Nomor 13 tahun 2006 tentang Pedoman Pengelolaan Keuangan Daerah;</t>
  </si>
  <si>
    <t>Peraturan Menteri Dalam Negeri Nomor 19 Tahun 2016 tentang Pedoman Pengelolaan Barang Milik Daerah;</t>
  </si>
  <si>
    <t>Peraturan Daerah Kabupaten Wonosobo Nomor 13 Tahun 2007 tentang Pengelolaan Keuangan Daerah Kabupaten Wonosobo (Lembaran Daerah Kabupaten Wonosobo Tahun 2008 Nomor 2, Tambahan Lembaran Daerah Kabupaten Wonosobo Tahun 2008      Nomor 2);</t>
  </si>
  <si>
    <t>Peraturan Daerah Kabupaten Wonosobo Nomor 12 Tahun 2016 tentang Organisasi Pemerintah Daerah Kabupaten Wonosobo;</t>
  </si>
  <si>
    <t>Peraturan Bupati Wonosobo Nomor  19  Tahun 2014 tentang Sistem Akuntansi Pemerintah Kab. Wonosobo ;</t>
  </si>
  <si>
    <t>Peraturan Bupati Wonosobo Nomor 30 Tahun 2016 tentang Kebijakan Akuntansi Pemerintah Kabupaten Wonosobo;</t>
  </si>
  <si>
    <t>Peraturan Daerah Kabupaten Wonosobo Nomor 13 Tahun 2016 tentang Anggaran Pendapatan dan Belanja Daerah Tahun Anggaran 2017 ;</t>
  </si>
  <si>
    <t>Peraturan Bupati Wonosobo Nomor 17 Tahun 2016 tentang Sistem dan Prosedur Pengelolaan Keuangan Daerah.</t>
  </si>
  <si>
    <t>Peraturan Daerah Kabupaten Wonosobo Nomor 14  Tahun 2017 tentang Perubahan Anggaran Pendapatan dan Belanja Daerah Tahun Anggaran 2017 ;</t>
  </si>
  <si>
    <t>1.3</t>
  </si>
  <si>
    <t>Sistematika Penulisan Catatan atas Laporan Keuangan</t>
  </si>
  <si>
    <t xml:space="preserve">Bab. I   Pendahuluan </t>
  </si>
  <si>
    <t>1.1. Maksud dan Tujuan Penyusunan Laporan Keuangan</t>
  </si>
  <si>
    <t xml:space="preserve">1.2. Landasan Hukum Penyusunan Laporan Keuangan </t>
  </si>
  <si>
    <t>1.3. Sistematika Penulisan Catatan atas Laporan Keuangan</t>
  </si>
  <si>
    <t xml:space="preserve">Bab. II    Ikhtisar pencapaian kinerja keuangan </t>
  </si>
  <si>
    <t>2.1.</t>
  </si>
  <si>
    <t xml:space="preserve">Ikhtisar realisasi pencapaian target kinerja keuangan </t>
  </si>
  <si>
    <t>2.2. </t>
  </si>
  <si>
    <t>Hambatan dan Kendala yang ada dalam pencapaian target yang telah ditetapkan</t>
  </si>
  <si>
    <t>Bab. III   Penjelasan pos-pos laporan keuangan</t>
  </si>
  <si>
    <t>3.1. Laporan Realisasi Anggaran</t>
  </si>
  <si>
    <t>3.1.1.  Pendapatan LRA</t>
  </si>
  <si>
    <t>3.1.2.  Belanja LRA</t>
  </si>
  <si>
    <t>3.2. Neraca</t>
  </si>
  <si>
    <t>3.2.1.  Aset</t>
  </si>
  <si>
    <t>3.2.2.  Kewajiban</t>
  </si>
  <si>
    <t>3.2.3.  Ekuitas</t>
  </si>
  <si>
    <t>3.3. Laporan Operasional</t>
  </si>
  <si>
    <t>3.3.1.  Pendapatan LO</t>
  </si>
  <si>
    <t>3.3.2.  Beban LO</t>
  </si>
  <si>
    <t xml:space="preserve">3.3.3.  Surplus / Defisit </t>
  </si>
  <si>
    <t>3.4. Laporan Perubahan ekuitas</t>
  </si>
  <si>
    <t>3.4.1. Perubahan ekuitas</t>
  </si>
  <si>
    <t>Bab. IV   Penjelasan Atas Informasi Non Keuangan</t>
  </si>
  <si>
    <t>Bab. V    Penutup</t>
  </si>
  <si>
    <t>BAB II</t>
  </si>
  <si>
    <t>IKHTISAR PENCAPIAN KINERJA KEUANGAN</t>
  </si>
  <si>
    <t>2.1</t>
  </si>
  <si>
    <t>Iktisar Realisasi Pencapaian Target Kinerja Keuangan.</t>
  </si>
  <si>
    <t>Hal ini disebabkan oleh adanya program penghematan belanja pemerintah dan adanya perubahan kegiatan sesuai dengan kebutuhan dan situasi serta kondisi pada saat pelaksanaan. Perubahan tersebut berdasarkan sumber pendapatan dan jenis belanja adalah sebagai berikut:</t>
  </si>
  <si>
    <t>Uraian</t>
  </si>
  <si>
    <t>Anggaran Penetapan</t>
  </si>
  <si>
    <t>Anggaran Perubahan</t>
  </si>
  <si>
    <t>Naik/ (Turun)</t>
  </si>
  <si>
    <t>Pendapatan</t>
  </si>
  <si>
    <t xml:space="preserve"> Pendapatan Asli daerah</t>
  </si>
  <si>
    <t xml:space="preserve"> Pendapatan Transfer</t>
  </si>
  <si>
    <t xml:space="preserve"> Lain-Lain Pendaptn. Yang Sah</t>
  </si>
  <si>
    <t>Jumlah Pendapatan</t>
  </si>
  <si>
    <t>Belanja</t>
  </si>
  <si>
    <t xml:space="preserve"> Belanja Operasi</t>
  </si>
  <si>
    <t xml:space="preserve"> Belanja Modal</t>
  </si>
  <si>
    <t xml:space="preserve"> Belanja Tak Terduga</t>
  </si>
  <si>
    <t xml:space="preserve"> Belanja Transfer</t>
  </si>
  <si>
    <t>Jumlah Belanja</t>
  </si>
  <si>
    <t>Surplus /Defisit</t>
  </si>
  <si>
    <t>Anggaran Setelah Perubahan</t>
  </si>
  <si>
    <t>Lebih/(Kurang) dari Anggaran</t>
  </si>
  <si>
    <t xml:space="preserve">% </t>
  </si>
  <si>
    <t>Pendapatan dan Belanja</t>
  </si>
  <si>
    <t>Surplus/(Defisit)</t>
  </si>
  <si>
    <t>Pembiayaan</t>
  </si>
  <si>
    <t>Penerimaan Pembiayaan</t>
  </si>
  <si>
    <t>Pengeluaran Pembiayaan</t>
  </si>
  <si>
    <t>Pembiayaan Netto</t>
  </si>
  <si>
    <t>SILPA</t>
  </si>
  <si>
    <t>Dari Tabel tersebut diatas dapat dilihat bahwa :</t>
  </si>
  <si>
    <t xml:space="preserve"> 1.</t>
  </si>
  <si>
    <t>2.</t>
  </si>
  <si>
    <t>3.</t>
  </si>
  <si>
    <t>4.</t>
  </si>
  <si>
    <t>5.</t>
  </si>
  <si>
    <t>Realisasi TA 2017</t>
  </si>
  <si>
    <t>Realisasi TA 2016</t>
  </si>
  <si>
    <t>Naik/(Turun)</t>
  </si>
  <si>
    <t>1.</t>
  </si>
  <si>
    <t>2.1.3. Hambatan Dan Kendala Yang Dihadapi.</t>
  </si>
  <si>
    <t>Hambatan dalam pencapaian terget Pendapatan</t>
  </si>
  <si>
    <t>Secara umum kondisi Pendapatan Daerah sangat dipengaruhi oleh faktor eksternal dan internal.</t>
  </si>
  <si>
    <t>Faktor eksternal antara lain kondisi politik, ekonomi, sosial budaya, ketertiban dan keamanan.</t>
  </si>
  <si>
    <t>Sedangkan faktor internal sangat tergantung pada kemampuan menentukan arah dan kebijakan unit pengelola pendapatan.</t>
  </si>
  <si>
    <t>Faktor eksternal dan internal tidak hanya mempengaruhi kondisi umum pendapatan daerah.</t>
  </si>
  <si>
    <t>Adapun permasalahan utama pendapatan Dinas Pariwisata dan Kebudayaan adalah :</t>
  </si>
  <si>
    <t>Kurangnya sarana dan prasarana yang ada untuk menunjang penarikan retribusi :</t>
  </si>
  <si>
    <t>Peran serta masyarakat dalam upaya ikut serta mendukung Sapta Pesona didaerahnya masih rendah ;</t>
  </si>
  <si>
    <t>c.</t>
  </si>
  <si>
    <t>Belum adanya pembaharuan beberapa peraturan daerah tentang :</t>
  </si>
  <si>
    <t xml:space="preserve">Retribusi Tempat Rekreasi dan Olah Raga </t>
  </si>
  <si>
    <t>Desa Wisata</t>
  </si>
  <si>
    <t>Usaha Pariwisata</t>
  </si>
  <si>
    <t>d.</t>
  </si>
  <si>
    <t>Kesadaran legalitas usaha pariwisata masih perlu ditingkatkan.</t>
  </si>
  <si>
    <t>Hambatan dalam pencapaian terget Belanja</t>
  </si>
  <si>
    <t>Hambatan dalam pencapaian target Belanja antara lain :</t>
  </si>
  <si>
    <t>terbatasnya sumber daya aparatur dalam bidang ( manajemen pariwisata, bahasa asing, perhotelan, tehnik arsitektur,  dan akuntansi )</t>
  </si>
  <si>
    <t xml:space="preserve">Terbatasnya waktu pelaksanaan kegiatan, terutama kegiatan yang keluarnya di Perubahan Anggaran. </t>
  </si>
  <si>
    <t>Kurangnya rencana penyerapan anggaran  belanja  yang terjadwal dengan baik.</t>
  </si>
  <si>
    <t>System Pengawasan dari BPK, BPKP dll dianggap sebagai penyebab terhambatnya proses tender pengadaan. Mereka lebih memilih bersifat hati - hati, ragu - ragu bahkan menunggu, ketakutan itu yang menyebabkan banyak pejabat enggan ditunjuk menjadi pemimpin proyek atau panitia pengadaan.2</t>
  </si>
  <si>
    <t>e.</t>
  </si>
  <si>
    <t>Terbatasnya dana sarana prasarana.</t>
  </si>
  <si>
    <t>BAB III</t>
  </si>
  <si>
    <t>PENJELASAN POS-POS LAPORAN KEUANGAN</t>
  </si>
  <si>
    <t>3.1.</t>
  </si>
  <si>
    <t>Laporan Realisaasi Anggaran (LRA)</t>
  </si>
  <si>
    <t>A.</t>
  </si>
  <si>
    <t>Pendapatan-LRA</t>
  </si>
  <si>
    <t>% +/-</t>
  </si>
  <si>
    <t>Anggaran</t>
  </si>
  <si>
    <t>Realisasi</t>
  </si>
  <si>
    <t>% dari Ang</t>
  </si>
  <si>
    <t>-/+ Angg</t>
  </si>
  <si>
    <t>% dari Angg</t>
  </si>
  <si>
    <t>-/+ 2016</t>
  </si>
  <si>
    <t>Pendapatan Asli Daerah</t>
  </si>
  <si>
    <t>Pajak Daerah</t>
  </si>
  <si>
    <t>Retribusi Daerah</t>
  </si>
  <si>
    <t>Hasil Pengelolaan Kekayaan Daerah Yang Dipisahkan</t>
  </si>
  <si>
    <t>Lain-lain PAD yang sah</t>
  </si>
  <si>
    <t>Pendapatan Transfer</t>
  </si>
  <si>
    <t>Lain-Lain Pendapatan Yang Sah</t>
  </si>
  <si>
    <t>Jumlah</t>
  </si>
  <si>
    <t xml:space="preserve">Realisasi masing-masing pendapatan secara rinci dapat dijelaskan sebagai berikut : </t>
  </si>
  <si>
    <t>Adapun rincian masing-masing pendapatan asli daerah adalah sebagai berikut :</t>
  </si>
  <si>
    <t>- Pendapatan BLUD</t>
  </si>
  <si>
    <t>No</t>
  </si>
  <si>
    <t>Pajak Hotel</t>
  </si>
  <si>
    <t>Pajak Restoran</t>
  </si>
  <si>
    <t>Pajak Hiburan</t>
  </si>
  <si>
    <t>Pajak Reklame</t>
  </si>
  <si>
    <t>Pajak Penerangan Jalan</t>
  </si>
  <si>
    <t>Pajak Parkir</t>
  </si>
  <si>
    <t>Pajak Air Tanah</t>
  </si>
  <si>
    <t>Pajak Mineral Bukan Logam dan Batuan</t>
  </si>
  <si>
    <t>Pajak Bumi dan Bangunan Pedesaaan dan Perkotaan</t>
  </si>
  <si>
    <t xml:space="preserve">Bea Perolehan Hak Atas Tanah dan Bangunan </t>
  </si>
  <si>
    <t xml:space="preserve">Jumlah </t>
  </si>
  <si>
    <t>Retribusi Pelayanan Kesehatan</t>
  </si>
  <si>
    <t>Retribusi Pelayanan Pasar</t>
  </si>
  <si>
    <t>Retribusi Pemakaian Kekayaan Daerah</t>
  </si>
  <si>
    <t>Retribusi Terminal</t>
  </si>
  <si>
    <t>Retribusi Tempat Khusus Parkir</t>
  </si>
  <si>
    <t>Retribusi Tempat Rekreasi dan Olah Raga</t>
  </si>
  <si>
    <t>Bagian Laba Penyertaan Modal pada BUMD</t>
  </si>
  <si>
    <t>Bagian Laba Penyertaan Modal pada Swasta</t>
  </si>
  <si>
    <t>Lain-lain PAD Yang Sah</t>
  </si>
  <si>
    <t>Hasil Penjualan Aset Daerah Yang Dipisahkan</t>
  </si>
  <si>
    <t>Penerimaan Jasa Giro</t>
  </si>
  <si>
    <t>Pendapatan Bunga</t>
  </si>
  <si>
    <t>Tuntutan Ganti Kerugian Daerah</t>
  </si>
  <si>
    <t>Pendapatan Dari Pengembalian</t>
  </si>
  <si>
    <t>Lain-lain PAD Yang Sah Lainnya</t>
  </si>
  <si>
    <t>Adapun rincian masing-masing pendapatan transfer adalah sebagai berikut :</t>
  </si>
  <si>
    <t>Transfer Pemerintah Pusat-Dana Perimbangan</t>
  </si>
  <si>
    <t>Transfer Pemerintah Pusat-Lainnya</t>
  </si>
  <si>
    <t>Transfer Pemerintah Provinsi</t>
  </si>
  <si>
    <t>JUMLAH</t>
  </si>
  <si>
    <t xml:space="preserve"> </t>
  </si>
  <si>
    <t>Lain-lain Pendapatan Yang Sah</t>
  </si>
  <si>
    <t>Adapun rincian lain-lain pendapatan yang sah adalah sebagai berikut :</t>
  </si>
  <si>
    <t>B.</t>
  </si>
  <si>
    <r>
      <t>Belanja adalah semua pengeluaran dari rekening kas umum daerah yang mengurangi saldo anggaran  lebih dalam periode tahun anggaran bersangkutan yang tidak akan diperoleh pembayarannya kembali oleh pemerintah. Belanja Daerah meliputi Belanja Operasi, Belanja Modal, Belanja Tak Terduga dan Transfer.</t>
    </r>
    <r>
      <rPr>
        <sz val="11"/>
        <color indexed="12"/>
        <rFont val="Bookman Old Style"/>
        <family val="1"/>
      </rPr>
      <t xml:space="preserve"> </t>
    </r>
    <r>
      <rPr>
        <sz val="11"/>
        <color indexed="8"/>
        <rFont val="Bookman Old Style"/>
        <family val="1"/>
      </rPr>
      <t xml:space="preserve"> </t>
    </r>
  </si>
  <si>
    <t xml:space="preserve">Realisasi </t>
  </si>
  <si>
    <t>+\-%</t>
  </si>
  <si>
    <t>Meningkatnya belanja pegawai di Dinas Pariwisata dan Kebudayaan</t>
  </si>
  <si>
    <t>Meningkatnya belanja Barang dan Jasa di Dinas Pariwisata dan Kebudayaan</t>
  </si>
  <si>
    <t>Meningkatnya belanja Modal di Dinas Pariwisata dan Kebudayaan</t>
  </si>
  <si>
    <t>Belanja Operasi</t>
  </si>
  <si>
    <t>Belanja Hibah</t>
  </si>
  <si>
    <t>Belanja Bantuan Sosial</t>
  </si>
  <si>
    <t>Adapun rincian masing-masing belanja operasi sebagai berikut:</t>
  </si>
  <si>
    <t>1.    Belanja Pegawai</t>
  </si>
  <si>
    <t xml:space="preserve">Belanja Pegawai adalah belanja atas kompensasi, baik dalam bentuk uang maupun barang yang ditetapkan berdasarkan peraturan perundang-undangan yang diberikan kepada pejabat negara, Pegawai Negeri Sipil (PNS), dan pegawai yang dipekerjakan oleh pemerintah yang belum berstatus PNS sebagai imbalan atas pekerjaan yang telah dilaksanakan kecuali pekerjaan yang berkaitan dengan pembentukan modal. </t>
  </si>
  <si>
    <t xml:space="preserve">Belanja Barang </t>
  </si>
  <si>
    <t>-/+ 2017</t>
  </si>
  <si>
    <t>-/+ 2018</t>
  </si>
  <si>
    <t>-/+ 2019</t>
  </si>
  <si>
    <t>-/+ 2020</t>
  </si>
  <si>
    <t>-/+ 2021</t>
  </si>
  <si>
    <t>-/+ 2022</t>
  </si>
  <si>
    <t>-/+ 2024</t>
  </si>
  <si>
    <t>-/+ 2025</t>
  </si>
  <si>
    <t>Belanja Modal</t>
  </si>
  <si>
    <t>Belanja modal merupakan pengeluaran anggaran untuk perolehan aset tetap dan aset lainnya yang memberi manfaat lebih dari satu periode akuntansi.</t>
  </si>
  <si>
    <t>Belanja Modal Tanah</t>
  </si>
  <si>
    <t>Tidak terdapat anggaran belanja modal tanah.</t>
  </si>
  <si>
    <t>Belanja Modal Tanah Bangunan Gedung</t>
  </si>
  <si>
    <t>Tidak ada Belanja Pengadaan Tanah</t>
  </si>
  <si>
    <t>Belanja Modal Tanah Bangunan Bukan Gedung</t>
  </si>
  <si>
    <t>Tidak ada Belanja Tanah Bangunan Bukan Gedung</t>
  </si>
  <si>
    <t>Belanja Modal Peralatan dan Mesin</t>
  </si>
  <si>
    <t>Belanja Modal Pengadaan Alat Bantu.</t>
  </si>
  <si>
    <t>Belanja Modal Pengadaan Alat Angkutan.</t>
  </si>
  <si>
    <t>Belanja Modal Pengadaan Alat Kantor.</t>
  </si>
  <si>
    <t>Belanja Modal Pengadaan Alat Rumah Tangga.</t>
  </si>
  <si>
    <t>Belaja modal pengadaan alat rumah tangga digunakan sebagaimana tabel dibawah ini :</t>
  </si>
  <si>
    <t>Alat Rumah Tangga</t>
  </si>
  <si>
    <t xml:space="preserve"> - Alat Pembersih</t>
  </si>
  <si>
    <t xml:space="preserve"> - Mebelair</t>
  </si>
  <si>
    <t xml:space="preserve"> - Alat Dapur</t>
  </si>
  <si>
    <t xml:space="preserve"> - Alat RT Lainnya</t>
  </si>
  <si>
    <t>Belanja Modal Pengadaan Komputer</t>
  </si>
  <si>
    <t>Rincian belaja modal pengadaan komputer sebagaimana tabel dibawah ini :</t>
  </si>
  <si>
    <t>Pengadaan Komputer</t>
  </si>
  <si>
    <t xml:space="preserve"> - Personal Komputer</t>
  </si>
  <si>
    <t xml:space="preserve"> - Mini Komputer</t>
  </si>
  <si>
    <t xml:space="preserve"> - Peralatan Personal Komputer</t>
  </si>
  <si>
    <t>Belanja Modal Pengadaan Alat Studio</t>
  </si>
  <si>
    <t>Belanja Modal Pengadaan Alat Komunikasi</t>
  </si>
  <si>
    <t>Belanja Modal Pengadaan Alat Kedokteran</t>
  </si>
  <si>
    <t>Rincian belaja modal pengadaan alat kedokteran sebagaimana tabel dibawah ini :</t>
  </si>
  <si>
    <t>Alat Kedokteran</t>
  </si>
  <si>
    <t>- Alat Kedokteran Umum</t>
  </si>
  <si>
    <t xml:space="preserve"> - Alat Kedokteran Gigi</t>
  </si>
  <si>
    <t>Belanja Modal Pengadaan Alat Kesehatan</t>
  </si>
  <si>
    <t>Rincian belaja modal pengadaan alat kesehatan sebagaimana tabel dibawah ini :</t>
  </si>
  <si>
    <t>Alat Kesehatan</t>
  </si>
  <si>
    <t xml:space="preserve"> - Alat Kesehatan Perawatan</t>
  </si>
  <si>
    <t>Belanja Modal Gedung dan Bangunan</t>
  </si>
  <si>
    <t>- Bangunan gedung kantor</t>
  </si>
  <si>
    <t>- Bangunan gedung Tempat Pertemuan</t>
  </si>
  <si>
    <t xml:space="preserve">- Bangunan gudang </t>
  </si>
  <si>
    <t>- Bangunan kesehatan</t>
  </si>
  <si>
    <t>- Bangunan Gedung Tempat Kerja Lainnya</t>
  </si>
  <si>
    <t>Belanja bangunan tersebut berupa  Pembuatan pintu folding, perbaikan atap/plafon gedung dan kanopi dekranasda dan Jasa Konsultasi Perencanaan Pengembangan Pemandian Kalianget, Jaringan Air Bersih, Pengerasan halaman Taman Kungkum Air Panas Kalianget serta Pengadaan dan Perbaikan Sarpras Kolam Renang Air Dingin Kalianget</t>
  </si>
  <si>
    <t>Belanja Modal Jalan, Irigasi, dan Jaringan</t>
  </si>
  <si>
    <t>Jalan, Irigasi &amp; Jaringan</t>
  </si>
  <si>
    <t>Jalan tersebut berupa pengaspalan pintu masuk Gerbang Wisata Lembah Dieng dan jalan setapak Jalur Wisata Bukit Seroja</t>
  </si>
  <si>
    <t>Belanja Modal Aset Tetap Lainnya</t>
  </si>
  <si>
    <t>3.2.</t>
  </si>
  <si>
    <t>NERACA</t>
  </si>
  <si>
    <t>Aset</t>
  </si>
  <si>
    <t>Kewajiban</t>
  </si>
  <si>
    <t>Ekuitas</t>
  </si>
  <si>
    <t>Jumlah Kewajiban &amp; Ekuitas</t>
  </si>
  <si>
    <t>3.2.1</t>
  </si>
  <si>
    <t xml:space="preserve">ASET </t>
  </si>
  <si>
    <t xml:space="preserve">   A.  ASET LANCAR</t>
  </si>
  <si>
    <t>Kas dan setara kas</t>
  </si>
  <si>
    <t>Rp.</t>
  </si>
  <si>
    <t>Beban di Bayar di Muka</t>
  </si>
  <si>
    <t>6.</t>
  </si>
  <si>
    <t>Kas dan Setara Kas</t>
  </si>
  <si>
    <t xml:space="preserve">Kas di Bendahara Penerimaan meliputi saldo uang tunai dan saldo rekening di bank yang berada di bawah tanggung jawab Bendahara Penerimaan yang sumbernya berasal dari pelaksanaan tugas pemerintahan berupa Penerimaan Daerah. </t>
  </si>
  <si>
    <t>Rincian Kas di Bendahara Penerimaan</t>
  </si>
  <si>
    <t>Keterangan</t>
  </si>
  <si>
    <t>Tunai</t>
  </si>
  <si>
    <t>Bank</t>
  </si>
  <si>
    <t>Rincian Kas di Bendahara Pengeluaran adalah sebagai berikut:</t>
  </si>
  <si>
    <t xml:space="preserve">Rincian Kas di Bendahara Pengeluaran </t>
  </si>
  <si>
    <t>Bank…</t>
  </si>
  <si>
    <t>Kas BLUD</t>
  </si>
  <si>
    <t xml:space="preserve">Kas BLUD merupakan kas yang ada di rekening giro maupun deposito BLUD yang merupakan kas dan setara kas. Rincian sumber Kas Blud pada tanggal pelaporan adalah sebagai berikut: </t>
  </si>
  <si>
    <t>Rincian Kas Blud</t>
  </si>
  <si>
    <t xml:space="preserve">Kas Rekening Giro </t>
  </si>
  <si>
    <t>Deposito Rek...</t>
  </si>
  <si>
    <t>2. Investasi Jangka Pendek</t>
  </si>
  <si>
    <t>3. Piutang Pendapatan</t>
  </si>
  <si>
    <t xml:space="preserve">Piutang Pendapatan  merupakan hak atau pengakuan pemerintah atas uang atau jasa terhadap pelayanan yang telah diberikan namun belum diselesaikan pembayarannya. Rincian Piutang Pendapatan sebagai berikut: </t>
  </si>
  <si>
    <t>Rincian Piutang Pendapatan</t>
  </si>
  <si>
    <t>Penjelasan masing-masing piutang sebagai berikut :</t>
  </si>
  <si>
    <t>Piutang Pajak Daerah</t>
  </si>
  <si>
    <t>NO</t>
  </si>
  <si>
    <t>SALDO AWAL</t>
  </si>
  <si>
    <t>SALDO AKHIR</t>
  </si>
  <si>
    <t>DEBIT</t>
  </si>
  <si>
    <t>KREDIT</t>
  </si>
  <si>
    <t>Hotel</t>
  </si>
  <si>
    <t>2.933.317.200</t>
  </si>
  <si>
    <t>14.715.086.200</t>
  </si>
  <si>
    <t>3.222.834.800</t>
  </si>
  <si>
    <t>Restoran</t>
  </si>
  <si>
    <t>5.626.438.632</t>
  </si>
  <si>
    <t>38.904.776.062</t>
  </si>
  <si>
    <t>3.222.834.801</t>
  </si>
  <si>
    <t>Reklame</t>
  </si>
  <si>
    <t>5.626.438.633</t>
  </si>
  <si>
    <t>3.222.834.802</t>
  </si>
  <si>
    <t>PPJU</t>
  </si>
  <si>
    <t>5.626.438.634</t>
  </si>
  <si>
    <t>3.222.834.803</t>
  </si>
  <si>
    <t>5.626.438.635</t>
  </si>
  <si>
    <t>3.222.834.804</t>
  </si>
  <si>
    <t>PBB</t>
  </si>
  <si>
    <t>5.626.438.636</t>
  </si>
  <si>
    <t>3.222.834.805</t>
  </si>
  <si>
    <t>BPHTB</t>
  </si>
  <si>
    <t>5.626.438.637</t>
  </si>
  <si>
    <t>3.222.834.806</t>
  </si>
  <si>
    <t>3.222.834.807</t>
  </si>
  <si>
    <t>Piutang Retribusi</t>
  </si>
  <si>
    <t>Piutang Retribusi Pelayanan Kesehatan</t>
  </si>
  <si>
    <t>Piutang Retribusi Pelayanan Persampahan</t>
  </si>
  <si>
    <t>Piutang Transfer Pemerintah Daerah Lainnya</t>
  </si>
  <si>
    <t>5.626.438.638</t>
  </si>
  <si>
    <t>5.626.438.639</t>
  </si>
  <si>
    <t>Piutang Hasil Pengelolaan Kekayaan Daerah yang Dipisahkan</t>
  </si>
  <si>
    <t>Piutang Lain-lain PAD Yang Sah</t>
  </si>
  <si>
    <t>Piutang BLUD</t>
  </si>
  <si>
    <t>Piutang..</t>
  </si>
  <si>
    <t>Piutang BLUD adalah piutang yang dicatat, diakui dan dikuasi oleh BLUD, yang bersumber dari Jasa Layanan, Hibah, Hasil Kerjasama maupun Lain-Lain Pendapatan BLUD Yang Sah, penjelasan mutasi sebagai berikut :</t>
  </si>
  <si>
    <t>1</t>
  </si>
  <si>
    <t>2</t>
  </si>
  <si>
    <t>Piutang Pendapatan Lainnya</t>
  </si>
  <si>
    <t>Bagian Lancar Tuntutan Ganti Kerugian Daerah</t>
  </si>
  <si>
    <t>5. Penyisihan Piutang Tak Tertagih</t>
  </si>
  <si>
    <t>Penyisihan Piutang Tak Tertagih adalah merupakan estimasi atas ketidak tertagihan piutang lancar yang ditentukan oleh kualitas piutang masing-masing debitur. Perhitungan penyisihan piutang tidak tertagih berdasarkan Peraturan Bupati Wonosobo Nomor 30 Tahun 2016 tentang Kebijakan Akuntansi Pemerintah Kabupaten Wonosobo. Rincian Penyisihan Piutang Tak Tertagih pada tanggal pelaporan adalah sebagai berikut:</t>
  </si>
  <si>
    <t>Rincian Penyisihan Piutang Tak Tertagih</t>
  </si>
  <si>
    <t>Kualitas Piutang</t>
  </si>
  <si>
    <t>Nilai Piutang Jk Pendek</t>
  </si>
  <si>
    <t>% Penyisihan</t>
  </si>
  <si>
    <t>Nilai Penyisihan</t>
  </si>
  <si>
    <t>Piutang Bukan Pajak :</t>
  </si>
  <si>
    <t>Lancar</t>
  </si>
  <si>
    <t>Kurang Lancar</t>
  </si>
  <si>
    <t>Diragukan</t>
  </si>
  <si>
    <t>Macet</t>
  </si>
  <si>
    <t>Bagian Lancar TP/TGR :</t>
  </si>
  <si>
    <t>Bagian Lancar TPA :</t>
  </si>
  <si>
    <t>Jumlah Penyisihan Piutang Tak Tertagih</t>
  </si>
  <si>
    <t>Rp</t>
  </si>
  <si>
    <t>6.    Beban Di Bayar Di Muka</t>
  </si>
  <si>
    <t>Beban dibayar di muka merupakan hak yang masih harus diterima setelah tanggal neraca sebagai akibat dari pengadaan barang/jasa yang telah dibayarkan secara penuh namun barang atau jasa tersebut belum diterima seluruhnya. Rincian Beban Dibayar di Muka adalah sebagai berikut:</t>
  </si>
  <si>
    <t>Rincian Beban Di Bayar di Muka</t>
  </si>
  <si>
    <t>7. Persediaan</t>
  </si>
  <si>
    <t>Rincian Persediaan</t>
  </si>
  <si>
    <t>Jenis</t>
  </si>
  <si>
    <t xml:space="preserve">Semua jenis persediaan pada tanggal pelaporan berada dalam kondisi baik. </t>
  </si>
  <si>
    <t>Adapun rincian dari masing-masing persediaan adalah sebagai berikut :</t>
  </si>
  <si>
    <t>a.    Persediaan Bahan Pakai Habis</t>
  </si>
  <si>
    <t xml:space="preserve">Alat Tulis Kantor </t>
  </si>
  <si>
    <t>Cetak</t>
  </si>
  <si>
    <t>Kebersihan</t>
  </si>
  <si>
    <t>Tabung Gas</t>
  </si>
  <si>
    <t xml:space="preserve">Pakaian Kerja Lapangan </t>
  </si>
  <si>
    <t xml:space="preserve">Bahan dan Alat Rumah Tangga </t>
  </si>
  <si>
    <t>b.    Persediaan Bahan/Material</t>
  </si>
  <si>
    <t xml:space="preserve">Bahan Makanan Pasien </t>
  </si>
  <si>
    <t>Obat</t>
  </si>
  <si>
    <t>2.933.317.201</t>
  </si>
  <si>
    <t>14.715.086.201</t>
  </si>
  <si>
    <t>Kimia</t>
  </si>
  <si>
    <t>2.933.317.202</t>
  </si>
  <si>
    <t>14.715.086.202</t>
  </si>
  <si>
    <t>Radiologi</t>
  </si>
  <si>
    <t>2.933.317.203</t>
  </si>
  <si>
    <t>14.715.086.203</t>
  </si>
  <si>
    <t>c.    Persediaan Barang Lainnya</t>
  </si>
  <si>
    <t>Barang akan diserahkan ke P3</t>
  </si>
  <si>
    <t>Dll</t>
  </si>
  <si>
    <t xml:space="preserve">   B.  INVESTASI JANGKA PANJANG</t>
  </si>
  <si>
    <t xml:space="preserve">   C.  ASET TETAP DAN AKUMULASI PENYUSUTAN</t>
  </si>
  <si>
    <t>Rincian Aset Tetap</t>
  </si>
  <si>
    <t>Aset Tetap</t>
  </si>
  <si>
    <t>2017-2016</t>
  </si>
  <si>
    <t>Jalan, Irigasi dan Jaringan</t>
  </si>
  <si>
    <t>Akumulasi Penyusutan Aset Tetap</t>
  </si>
  <si>
    <t>Adapun penjelasan mutasi penambahan dan pengurangan aset tetap sebagai berikut :</t>
  </si>
  <si>
    <t>Mutasi nilai tanah tersebut dapat dijelaskan sebagai berikut:</t>
  </si>
  <si>
    <t>Saldo Awal</t>
  </si>
  <si>
    <t>Koreksi</t>
  </si>
  <si>
    <t>Mutasi</t>
  </si>
  <si>
    <t>Saldo Akhir</t>
  </si>
  <si>
    <t>D</t>
  </si>
  <si>
    <t>K</t>
  </si>
  <si>
    <t>% 2017-2016</t>
  </si>
  <si>
    <t>Penjelasan Mutasi :</t>
  </si>
  <si>
    <t>1. Penambahan Aset</t>
  </si>
  <si>
    <t xml:space="preserve">     - Pengadaan belanja modal TA 2017 sebesar Rp. 121.500.000,00 Berupa hibah tanah dari PDAM</t>
  </si>
  <si>
    <t xml:space="preserve">       Tanah untuk bangunan gedung seluas 1.010 M2 lokasi di desa Glembengan Kecamatan Garung Wonosobo</t>
  </si>
  <si>
    <t>2. Pengurangan Aset</t>
  </si>
  <si>
    <t>Nilai</t>
  </si>
  <si>
    <t>Mutasi nilai Peralatan dan Mesin tersebut dapat dijelaskan sebagai berikut:</t>
  </si>
  <si>
    <t/>
  </si>
  <si>
    <t>Alat-alat Besar Darat</t>
  </si>
  <si>
    <t>Alat-alat Bantu</t>
  </si>
  <si>
    <t>Alat Angkutan Darat Bermotor</t>
  </si>
  <si>
    <t>Penjelasan mutasi :</t>
  </si>
  <si>
    <t>a. Penambahan Aset</t>
  </si>
  <si>
    <t>b. Pengurangan Aset</t>
  </si>
  <si>
    <t>Alat  Angkutan Darat Tak Bermotor</t>
  </si>
  <si>
    <t>Alat  Ukur</t>
  </si>
  <si>
    <t>Alat  Kantor</t>
  </si>
  <si>
    <t>7.</t>
  </si>
  <si>
    <t>Alat  Rumah Tangga</t>
  </si>
  <si>
    <t>8.</t>
  </si>
  <si>
    <t>Komputer</t>
  </si>
  <si>
    <t>9.</t>
  </si>
  <si>
    <t>10.</t>
  </si>
  <si>
    <t>11.</t>
  </si>
  <si>
    <t>12.</t>
  </si>
  <si>
    <t>13.</t>
  </si>
  <si>
    <t>14.</t>
  </si>
  <si>
    <t>15.</t>
  </si>
  <si>
    <t>16.</t>
  </si>
  <si>
    <t>17.</t>
  </si>
  <si>
    <t>18,</t>
  </si>
  <si>
    <t>19.</t>
  </si>
  <si>
    <t>20.</t>
  </si>
  <si>
    <t>Rincian aset tetap Gedung dan Bangunan disajikan pada Lampiran Laporan Keuangan ini.</t>
  </si>
  <si>
    <t xml:space="preserve">Jalan, Jaringan dan Irigasi  </t>
  </si>
  <si>
    <t>Mutasi transaksi terhadap Jalan, Irigasi,  dan Jaringan pada tanggal pelaporan adalah sebagai berikut:</t>
  </si>
  <si>
    <t>Rincian Aset Tetap Lainnya disajikan pada Lampiran Laporan Keuangan ini.</t>
  </si>
  <si>
    <t>f.</t>
  </si>
  <si>
    <t>Rincian lebih lanjut terkait Konstruksi Dalam Pengerjaan disajikan dalam lampiran.</t>
  </si>
  <si>
    <t>g.</t>
  </si>
  <si>
    <t>Akumulasi Penyusutan Aset Tetap merupakan alokasi sistematis atas nilai suatu aset tetap yang disusutkan selama masa manfaat aset yang bersangkutan selain untuk Tanah dan Konstruksi dalam Pengerjaan (KDP).</t>
  </si>
  <si>
    <t>Nilai Perolehan</t>
  </si>
  <si>
    <t>Nilai Buku</t>
  </si>
  <si>
    <t>Jalan, Irigasi Bangunan</t>
  </si>
  <si>
    <t>Rincian akumulasi penyusutan aset tetap disajikan pada Lampiran A1 Laporan Keuangan ini.</t>
  </si>
  <si>
    <t>D.</t>
  </si>
  <si>
    <t>E</t>
  </si>
  <si>
    <t>Aset Lainnya</t>
  </si>
  <si>
    <t>Penjelasan terinci Aset Lainnya sebagai berikut :</t>
  </si>
  <si>
    <t xml:space="preserve">   a. Tagihan Jangka Panjang             : Nihil</t>
  </si>
  <si>
    <t xml:space="preserve">   b. Kemitraan Dengan Pihak ketiga  : Nihil</t>
  </si>
  <si>
    <t xml:space="preserve">   c. Aset Tidak Berwujud    </t>
  </si>
  <si>
    <t xml:space="preserve">Aset Tak Berwujud merupakan aset yang dapat diidentifikasi dan dimiliki, tetapi tidak mempunyai wujud fisik, sebagaimana tabel berikut : </t>
  </si>
  <si>
    <t>Penjelasan mutasi yang terdiri dari :</t>
  </si>
  <si>
    <t>1. Goowill</t>
  </si>
  <si>
    <t>Nihil</t>
  </si>
  <si>
    <t>2. Lisensi dan Franchise</t>
  </si>
  <si>
    <t>3. Hak Cipta</t>
  </si>
  <si>
    <t>4. Patent</t>
  </si>
  <si>
    <t xml:space="preserve">5. Aset Tak Berwujud Lainnya     </t>
  </si>
  <si>
    <t>Aset Tidak Berwujud Lainnya</t>
  </si>
  <si>
    <t>6. Akumulasi dan Amortisasi Aset Tidak berwujud.</t>
  </si>
  <si>
    <t>Akumulasi dan Amortisasi ATB</t>
  </si>
  <si>
    <t>a. Penambahan Akumulasi &amp; Amortisasi</t>
  </si>
  <si>
    <t>b. Pengurangan Akumulasi dan Amortisasi</t>
  </si>
  <si>
    <t xml:space="preserve">  d. Aset Lain-Lain </t>
  </si>
  <si>
    <t>Aset Lain-lain merupakan Barang Milik Daerah (BMD) yang berada dalam kondisi rusak berat dan tidak lagi digunakan dalam operasional entitas. Adapun mutasi aset lain-lain adalah sebagai berikut:</t>
  </si>
  <si>
    <t>Aset Lain-Lain</t>
  </si>
  <si>
    <t>Rincian Aset Lain-lain berdasarkan nilai perolehan, akumulasi penyusutan dan nilai buku tersaji pada Lampiran Laporan Keungan ini.</t>
  </si>
  <si>
    <t>3.2.2</t>
  </si>
  <si>
    <t xml:space="preserve"> Kewajiban</t>
  </si>
  <si>
    <t xml:space="preserve">  A.  Kewajiban Jangka Pendek</t>
  </si>
  <si>
    <t>Bagian Lancar Utang Jangka Panjang</t>
  </si>
  <si>
    <t>Total</t>
  </si>
  <si>
    <t>1. Utang Pada Pihak Ketiga</t>
  </si>
  <si>
    <t>Saldo Utang PPN dan PPh tersebut berasal dari  pungutan belanja yang masih ada dibendahara pengeluaran.</t>
  </si>
  <si>
    <t>2. Utang Bunga</t>
  </si>
  <si>
    <r>
      <t>Bunga</t>
    </r>
    <r>
      <rPr>
        <sz val="11"/>
        <color indexed="63"/>
        <rFont val="Bookman Old Style"/>
        <family val="1"/>
      </rPr>
      <t> adalah imbal jasa atas pinjaman uang. Imbal jasa </t>
    </r>
    <r>
      <rPr>
        <i/>
        <sz val="11"/>
        <color indexed="63"/>
        <rFont val="Bookman Old Style"/>
        <family val="1"/>
      </rPr>
      <t>cipal</t>
    </r>
    <r>
      <rPr>
        <sz val="11"/>
        <color indexed="63"/>
        <rFont val="Bookman Old Style"/>
        <family val="1"/>
      </rPr>
      <t>. Persentase dari pokok utang yang dibayarkan sebagai imbal jasa ( bunga ) dalam suatu periode tertentu disebut "</t>
    </r>
    <r>
      <rPr>
        <b/>
        <sz val="11"/>
        <color indexed="63"/>
        <rFont val="Bookman Old Style"/>
        <family val="1"/>
      </rPr>
      <t>suku bunga</t>
    </r>
    <r>
      <rPr>
        <sz val="11"/>
        <color indexed="63"/>
        <rFont val="Bookman Old Style"/>
        <family val="1"/>
      </rPr>
      <t>"</t>
    </r>
  </si>
  <si>
    <t>3. Bagian Lancar Utang Jangka Panjang</t>
  </si>
  <si>
    <t>4. Pendapatan Diterima di Muka</t>
  </si>
  <si>
    <t>Pendapatan Diterima di Muka merupakan pendapatan yang sudah diterima pembayarannya, namun barang/jasa belum diserahkan,  dengan rincian sebagai berikut :</t>
  </si>
  <si>
    <t>5. Utang Belanja</t>
  </si>
  <si>
    <t>6. Utang Jangka Pendek lainnya</t>
  </si>
  <si>
    <t xml:space="preserve">  B.  Kewajiban Jangka Panjang : Nihil</t>
  </si>
  <si>
    <t>3.2.3</t>
  </si>
  <si>
    <t>Ekuitas adalah kekayaan bersih entitas yang merupakan selisih antara aset dan kewajiban. Rincian lebih lanjut tentang ekuitas disajikan dalam Laporan Perubahan Ekuitas.</t>
  </si>
  <si>
    <t>3.3.</t>
  </si>
  <si>
    <t>LAPORAN OPERASIONAL</t>
  </si>
  <si>
    <t>3.3.1</t>
  </si>
  <si>
    <t>Pendapatan-LO</t>
  </si>
  <si>
    <t>1. Pendapatan Asli Daerah (PAD)</t>
  </si>
  <si>
    <t>2. Pendapatan Transfer</t>
  </si>
  <si>
    <t>3. Lain-lain Pendapatan  yg Sah</t>
  </si>
  <si>
    <t>Pendapatan Asli Daerah (PAD)</t>
  </si>
  <si>
    <t>1. Pajak Daerah</t>
  </si>
  <si>
    <t>2. Retribusi Daerah</t>
  </si>
  <si>
    <t>3. Hasil Pengelolaan Kekayaan Daerah Yg dipisahkan</t>
  </si>
  <si>
    <t>3. Lain-lain PAD yg Sah</t>
  </si>
  <si>
    <t>Pajak HIburan</t>
  </si>
  <si>
    <t>Pajak Pengambilan Bahan Galian Golongan C</t>
  </si>
  <si>
    <t>Pajak Air Bawah Tanah</t>
  </si>
  <si>
    <t>Pajak Bumi dan Bangunan (PBB)</t>
  </si>
  <si>
    <t>Pajak Bea Perolehan Hak atas Tanah dan Bangunan (BPHTB)</t>
  </si>
  <si>
    <t>Retribusi Jasa Umum</t>
  </si>
  <si>
    <t>Retribusi Pelayanan Persampahan/Kebersihan</t>
  </si>
  <si>
    <t>Retribusi Pelayanan Parkir di Tepi Jalan Umum</t>
  </si>
  <si>
    <t>Retribusi Pengujian Kendaraan Bermotor</t>
  </si>
  <si>
    <t>Retribusi Pelayanan Pendidikan</t>
  </si>
  <si>
    <t>Retribusi Tower</t>
  </si>
  <si>
    <t>Retribusi Jasa Usaha</t>
  </si>
  <si>
    <t>Retribusi Rumah Potong Hewan</t>
  </si>
  <si>
    <t>Retribusi Penjualan Produksi Usaha Daerah</t>
  </si>
  <si>
    <t>Retribusi MCK</t>
  </si>
  <si>
    <t>Retribusi Perizinan Tertentu</t>
  </si>
  <si>
    <t>Retribusi Izin Mendirikan Bangunan</t>
  </si>
  <si>
    <t>Retribusi Izin Gangguan/Keramaian</t>
  </si>
  <si>
    <t>Retribusi Trayek</t>
  </si>
  <si>
    <t>Pendapatan Hasil Pengelolaan Kekayaan Daerah yang Dipisahkan</t>
  </si>
  <si>
    <t>Bagian Laba atas Penyertaan Modal pada Perusahaan Milik Daerah/BUMD</t>
  </si>
  <si>
    <t>Perusahaan Daerah Air Minum</t>
  </si>
  <si>
    <t>PD. BPR Bank  Wonosobo</t>
  </si>
  <si>
    <t>PD BPR BKK Wonosobo</t>
  </si>
  <si>
    <t>PD Bhakti Husada</t>
  </si>
  <si>
    <t>PT Bank Jateng</t>
  </si>
  <si>
    <t>PD BKK Kertek</t>
  </si>
  <si>
    <t>Bagian Laba atas Penyertaan Modal pada Perusahaan Milik Swasta</t>
  </si>
  <si>
    <t>PT Tambi</t>
  </si>
  <si>
    <t>PT Bimolukar (Apotik Cahaya)</t>
  </si>
  <si>
    <t>Pendapatan Asli Daerah Lainnya</t>
  </si>
  <si>
    <t>Hasil Penjualan Aset Daerah yang Tidak Dipisahkan</t>
  </si>
  <si>
    <t>Pelepasan Hak Atas Tanah</t>
  </si>
  <si>
    <t>Penjualan Peralatan/Perlengkapan Kantor Tidak Terpakai</t>
  </si>
  <si>
    <t>Penjualan Kendaraan Dinas Roda Dua</t>
  </si>
  <si>
    <t>Penjualan Drum Bekas</t>
  </si>
  <si>
    <t>Penjualan Bahan-bahan Bekas Bangunan</t>
  </si>
  <si>
    <t>Inseminasi Buatan</t>
  </si>
  <si>
    <t>Jasa Giro Kas Daerah</t>
  </si>
  <si>
    <t>Jasa Giro Pemegang Kas</t>
  </si>
  <si>
    <t>Penerimaan Bunga Deposito</t>
  </si>
  <si>
    <t>Rekening Deposito Pada Bank Jateng</t>
  </si>
  <si>
    <t>Rekening Deposito Pada BRI</t>
  </si>
  <si>
    <t>Rekening Deposito Pada BNI 46</t>
  </si>
  <si>
    <t>Rekening Deposito Pada Bank Mandiri</t>
  </si>
  <si>
    <t>Tuntutan Ganti Kerugian Daerah (TGR)</t>
  </si>
  <si>
    <t>Kerugian Uang</t>
  </si>
  <si>
    <t>Kerugian Barang</t>
  </si>
  <si>
    <t>Pendapatan Denda Keterlambatan Pelaksanaan Pekerjaan</t>
  </si>
  <si>
    <t>Bidang Pekerjaan Umum</t>
  </si>
  <si>
    <t>Pendapatan Denda Retribusi</t>
  </si>
  <si>
    <t>Pendapatan Denda Retribusi Jasa Umum</t>
  </si>
  <si>
    <t>Pendapatan dari Pengembalian Belanja</t>
  </si>
  <si>
    <t>Pendapatan BLUD</t>
  </si>
  <si>
    <t>Pendapatan Jasa Layanan Umum BLUD</t>
  </si>
  <si>
    <t>Pendapatan BLUD Puskesmas</t>
  </si>
  <si>
    <t>Hasil dari pengelolaan dana bergulir</t>
  </si>
  <si>
    <t>Pendapatan Lain-lain</t>
  </si>
  <si>
    <t>Sumbangan Pihak Ketiga</t>
  </si>
  <si>
    <t>Pendapatan Lain-lain PAD yang Sah</t>
  </si>
  <si>
    <t>JUMLAH PAD</t>
  </si>
  <si>
    <t>aa.</t>
  </si>
  <si>
    <t>Jasa Layanan</t>
  </si>
  <si>
    <t>Hasil Kerja Sama</t>
  </si>
  <si>
    <t>Pendapatan Lain-lain Yang Sah</t>
  </si>
  <si>
    <t>Transfer Pemerintah Pusat -Dana Perimbangan</t>
  </si>
  <si>
    <t>Transfer Pemerintah Pusat - Lainnya</t>
  </si>
  <si>
    <t>PENDAPATAN TRANSFER</t>
  </si>
  <si>
    <t>Trasfer pemerintah Pusat - Dana Perimbangan</t>
  </si>
  <si>
    <t>Bagi Hasil Pajak</t>
  </si>
  <si>
    <t>Bagi Hasil dari Pajak Bumi dan Bangunan</t>
  </si>
  <si>
    <t>Bagi Hasil dari Pajak Penghasilan (PPH) Pasal 25 dan Pasa;l 29 Wajib Pajak Orang Pribadi Dalam Negeri</t>
  </si>
  <si>
    <t>Bagi Hasil Cukai Hasil Tembakau</t>
  </si>
  <si>
    <t>Bagi Hasil Bukan Pajak/Sumber Daya Alam</t>
  </si>
  <si>
    <t>Bagi Hasil Dari Provisi Sumber Daya Hutan</t>
  </si>
  <si>
    <t>Bagi Hasil Dari Pungutan Hasil Perikanan</t>
  </si>
  <si>
    <t>Bagi Hasil Dari Pertambangan Minyak Bumi</t>
  </si>
  <si>
    <t>Bagi Hasil Dari Pertambangan Gas Bumi</t>
  </si>
  <si>
    <t>Bagi Hasil Dari Pertambangan Panas Bumi</t>
  </si>
  <si>
    <t>Bagi Hasil SDA Pertambangan</t>
  </si>
  <si>
    <t>Dana Alokasi Umum</t>
  </si>
  <si>
    <t>Dana Alokasi Khusus</t>
  </si>
  <si>
    <t>Dana Alokasi Khusus (DAK) Fisik</t>
  </si>
  <si>
    <t>DAK Bidang Pendidikan</t>
  </si>
  <si>
    <t>DAK Bidang Kesehatan dan KB</t>
  </si>
  <si>
    <t>DAK Bidang Perumahan, Air Minum dan Sanitasi</t>
  </si>
  <si>
    <t>DAK Bidang Kedaulatan Pangan</t>
  </si>
  <si>
    <t>DAK Bidang Kelautan dan Perikanan</t>
  </si>
  <si>
    <t>DAK Bidang Prasarana Pemerintahan Daerah</t>
  </si>
  <si>
    <t>DAK Bidang Lingkungan Hidup dan Kehutanan</t>
  </si>
  <si>
    <t>DAK Bidang Transportasi</t>
  </si>
  <si>
    <t>DAK Bidang Sarana Prasarana Perdagangan</t>
  </si>
  <si>
    <t>DAK IPD</t>
  </si>
  <si>
    <t>Dana Alokasi Khusus (DAK) Non Fisik</t>
  </si>
  <si>
    <t>DAK Bantuan Operasional Penyelenggaraan PAUD</t>
  </si>
  <si>
    <t>DAK Tunjangan Profesi Guru</t>
  </si>
  <si>
    <t>DAK Tambahan Penghasilan Guru</t>
  </si>
  <si>
    <t>DAK Bantuan Operasional Kesehatan</t>
  </si>
  <si>
    <t>DAK Akreditasi Puskesmas</t>
  </si>
  <si>
    <t>DAK Jaminan Persalinan</t>
  </si>
  <si>
    <t>DAK Bantuan Operasional KB</t>
  </si>
  <si>
    <t>TRANSFER PEMERINTAH PUSAT LAINNYA</t>
  </si>
  <si>
    <t>Dana Otonomi Khusus</t>
  </si>
  <si>
    <t>Dana Penyesuaian</t>
  </si>
  <si>
    <t>TRANSFER PEMERINTAH PROVINSI</t>
  </si>
  <si>
    <t>PENDAPATAN BAGI HASIL PAJAK</t>
  </si>
  <si>
    <t>Dana Bagi Hasil Pajak Dari Provinsi</t>
  </si>
  <si>
    <t>Bagi Hasil Dari Pajak Kendaraan Bermotor</t>
  </si>
  <si>
    <t>Bagi Hasil Dari Bea Balik Nama Kendaraan Bermotor</t>
  </si>
  <si>
    <t>Bagi Hasil Dari Pajak Bahan Bakar Kendaraan Bermotor</t>
  </si>
  <si>
    <t>Bagi Hasil Dari Pajak Pengambilan dan Pemanfaatan Air Permukaan</t>
  </si>
  <si>
    <t>Bagi Hasil Pajak Rokok</t>
  </si>
  <si>
    <t>PENDAPATAN BAGI HASIL LAINNYA</t>
  </si>
  <si>
    <t>JUMLAH PENDAPATAN TRANSFER</t>
  </si>
  <si>
    <t>Pendapatan Hibah</t>
  </si>
  <si>
    <t>LAIN-LAIN PENDAPATAN YG SAH</t>
  </si>
  <si>
    <t>Pendapatan Hibah Dari Pemerintah</t>
  </si>
  <si>
    <t>Bantuan Keuangan Dari Provinsi</t>
  </si>
  <si>
    <t>FEDEP</t>
  </si>
  <si>
    <t>TMMD</t>
  </si>
  <si>
    <t>Profil Daerah</t>
  </si>
  <si>
    <t>Bantuan Sarana Prasarana</t>
  </si>
  <si>
    <t>Bantuan Pendidikan</t>
  </si>
  <si>
    <t>PUS</t>
  </si>
  <si>
    <t>TKPKD</t>
  </si>
  <si>
    <t>GAKY</t>
  </si>
  <si>
    <t>Bantuan Operasional Rintisan Desa Berdikari</t>
  </si>
  <si>
    <t>Bantuan Operasional Pendampingan KPMD</t>
  </si>
  <si>
    <t>Dana Desa Yang Bersumber dari APBN</t>
  </si>
  <si>
    <t>Dana Desa Yang Bersumber Dari APBN</t>
  </si>
  <si>
    <t>JUMLAH LAIN-LAIN PENDAPATAN YANG SAH</t>
  </si>
  <si>
    <t>3.3.2. Beban.</t>
  </si>
  <si>
    <t>Beban Pegawai</t>
  </si>
  <si>
    <t>Beban Transfer</t>
  </si>
  <si>
    <t xml:space="preserve">a. </t>
  </si>
  <si>
    <t xml:space="preserve">Beban Pegawai adalah beban atas kompensasi, baik dalam bentuk uang maupun barang yang ditetapkan berdasarkan peraturan perundang-undangan yang diberikan kepada pejabat negara, Pegawai Negeri Sipil (PNS), dan pegawai yang dipekerjakan oleh pemerintahyang belum berstatus PNS sebagai imbalan atas pekerjaan yang telah dilaksanakan kecuali pekerjaan yang berkaitan dengan pembentukan modal. </t>
  </si>
  <si>
    <t>Uraian  Beban Pegawai</t>
  </si>
  <si>
    <t>Beban Gaji dan Tunjangan</t>
  </si>
  <si>
    <t>Gaji Pokok PNS/Uang Representasi</t>
  </si>
  <si>
    <t>Tunjangan Keluarga</t>
  </si>
  <si>
    <t>Tunjangan Jabatan</t>
  </si>
  <si>
    <t>Tunjangan Fungsional</t>
  </si>
  <si>
    <t>Tunjangan Fungsional Umum</t>
  </si>
  <si>
    <t>Tunjangan Beras</t>
  </si>
  <si>
    <t>Tunjangan PPh/Tunjangan Khusus</t>
  </si>
  <si>
    <t>Pembulatan Gaji</t>
  </si>
  <si>
    <t>Iuran Asuransi Kesehatan</t>
  </si>
  <si>
    <t>Uang Paket</t>
  </si>
  <si>
    <t>Tunjangan Panitia Musyawarah</t>
  </si>
  <si>
    <t>Tunjangan Komisi</t>
  </si>
  <si>
    <t>Tunjangan Panitia Anggaran</t>
  </si>
  <si>
    <t>Tunjangan Badan Kehormatan</t>
  </si>
  <si>
    <t>Tunjangan Alat Kelengkapan Lainnya</t>
  </si>
  <si>
    <t>Tunjangan Perumahan</t>
  </si>
  <si>
    <t>Uang Duka Wafat/Tewas</t>
  </si>
  <si>
    <t>Uang Jasa Pengabdian</t>
  </si>
  <si>
    <t>Belanja Penunjang Operasional Pimpinan DPRD</t>
  </si>
  <si>
    <t>Tunjangan Profesi guru</t>
  </si>
  <si>
    <t>Iuran Asuransi Kecelakaan Kerja dan Kematian</t>
  </si>
  <si>
    <t>Beban Tambahan Penghasilan PNS</t>
  </si>
  <si>
    <t>Tambahan Penghasilan Berdasarkan Beban Kerja</t>
  </si>
  <si>
    <t>Beban Penerimaan lainnya Pimpinan dan anggota DPRD serta KDH/WKDH</t>
  </si>
  <si>
    <t>Belanja Penunjang Komunikasi Insentif Pimpinan Dan Anggota DPRD</t>
  </si>
  <si>
    <t>Belanja Penunjang Operasional KDH/WKDH</t>
  </si>
  <si>
    <t>Insentif Pemungutan Pajak Daerah</t>
  </si>
  <si>
    <t>Biaya Pemungutan Pajak Daerah</t>
  </si>
  <si>
    <t>Insentif Pemungutan Retribusi Daerah</t>
  </si>
  <si>
    <t>Honorarium PNS</t>
  </si>
  <si>
    <t>Honorarium Panitia Pelaksana Kegiatan</t>
  </si>
  <si>
    <t>Honorarium Tim/ Pejabat Pengadaan Barang Dan Jasa</t>
  </si>
  <si>
    <t>Honorarium Pengelola Uang dan Penatausahaan Keuangan</t>
  </si>
  <si>
    <t>Honorarium Pengelola Inventaris Barang</t>
  </si>
  <si>
    <t>Honorarium koordinator/ Operator</t>
  </si>
  <si>
    <t>Honorarium Tim Angka Kredit</t>
  </si>
  <si>
    <t>Honorarium PLT</t>
  </si>
  <si>
    <t>Honorarium Petugas Piket</t>
  </si>
  <si>
    <t>Honorarium Sidang Tim</t>
  </si>
  <si>
    <t>Honorarium Panitia Pemeriksa Hasil Pekerjaan</t>
  </si>
  <si>
    <t>Honorarium Kepanitiaan</t>
  </si>
  <si>
    <t>Honorarium Tenaga Ahli/Instruktur/Narasumber</t>
  </si>
  <si>
    <t>Honorarium Non PNS</t>
  </si>
  <si>
    <t>Honorarium Pegawai Honorer/Tidak Tetap</t>
  </si>
  <si>
    <t>Honorarium pengurus organisasi/kelembagaan</t>
  </si>
  <si>
    <t>Honorarium petugas piket</t>
  </si>
  <si>
    <t>Intensif Penjaga Bendung, Petugas PMK dan Petugas Lainya</t>
  </si>
  <si>
    <t>Honorarium Petugas Laboratorium</t>
  </si>
  <si>
    <t>Uang Lembur</t>
  </si>
  <si>
    <t>Uang Lembur PNS</t>
  </si>
  <si>
    <t>Uang Lembur Non PNS</t>
  </si>
  <si>
    <t>Uang untuk diberikan kepada Pihak Ketiga/Masyarakat</t>
  </si>
  <si>
    <t>Uang untuk diberikan kepada Pihak Ketiga</t>
  </si>
  <si>
    <t>Uang untuk diberikan kepada Masyarakat</t>
  </si>
  <si>
    <t>Beban Pegawai BLUD</t>
  </si>
  <si>
    <t>Beban Pegawai BLUD Rumah Sakit</t>
  </si>
  <si>
    <t>Beban Pegawai BLUD Puskesmas</t>
  </si>
  <si>
    <t>Beban Operasional Sekolah Negeri</t>
  </si>
  <si>
    <t>Beban Stimulan</t>
  </si>
  <si>
    <t>Beban Operasional TK / PAUD</t>
  </si>
  <si>
    <t>Beban Operasional SMP Negeri</t>
  </si>
  <si>
    <t>Beban Operasional SMA/SMK Negeri</t>
  </si>
  <si>
    <t>Jumlah Beban Pegawai</t>
  </si>
  <si>
    <t>Uraian  Beban Persediaan</t>
  </si>
  <si>
    <t>Beban Bahan Pakai Habis</t>
  </si>
  <si>
    <t>Beban Alat Tulis Kantor</t>
  </si>
  <si>
    <t>Beban Alat Listrik Dan Elektronik (Lampu Pijar, Battery Kering)</t>
  </si>
  <si>
    <t>Beban Perangko, Materai Dan Benda Pos Lainnya</t>
  </si>
  <si>
    <t>Beban Peralatan Kebersihan Dan Bahan Pembersih</t>
  </si>
  <si>
    <t>Beban Bahan Bakar Minyak/Gas</t>
  </si>
  <si>
    <t>Beban Pengisian Tabung Pemadam Kebakaran</t>
  </si>
  <si>
    <t>Beban Pengisian Tabung Gas</t>
  </si>
  <si>
    <t>Beban Bahan dan Alat olah Raga</t>
  </si>
  <si>
    <t>Beban Bahan dan Alat Keperluan Kantor</t>
  </si>
  <si>
    <t>Beban Dekorasi Dokumentasi dan Publikasi (Iklan, Spanduk dan Lain-lain)</t>
  </si>
  <si>
    <t>Beban Cetak / Penggandaan</t>
  </si>
  <si>
    <t>Beban Cetak</t>
  </si>
  <si>
    <t>Beban Penggandaan</t>
  </si>
  <si>
    <t>Beban Penjilidan</t>
  </si>
  <si>
    <t>Beban Bahan/Material</t>
  </si>
  <si>
    <t>Beban Bahan Baku Bangunan</t>
  </si>
  <si>
    <t>Beban Bahan/Bibit Tanaman</t>
  </si>
  <si>
    <t>Beban Bibit Ternak</t>
  </si>
  <si>
    <t>Beban Bahan Obat-Obatan</t>
  </si>
  <si>
    <t>Beban Bahan Kimia</t>
  </si>
  <si>
    <t>Beban Bahan dan Alat Perlengkapan Kegiatan</t>
  </si>
  <si>
    <t>Beban Bahan Praktek</t>
  </si>
  <si>
    <t>Beban Bahan Pengumuman dan Sejenisnya</t>
  </si>
  <si>
    <t>Beban Bahan Percontohan/ Alat Peraga/ Sampel</t>
  </si>
  <si>
    <t>Beban Bahan Sarana Belajar Mengajar</t>
  </si>
  <si>
    <t>Beban Bahan Jaringan dan Instalasi</t>
  </si>
  <si>
    <t>Beban Bahan dan Alat Rumah Tangga</t>
  </si>
  <si>
    <t>Beban Bahan dan Alat Pertanian</t>
  </si>
  <si>
    <t>Beban Pakan Ternak</t>
  </si>
  <si>
    <t>Beban  Bahan Kenang-kenangan/Hadiah (Prasasti/Piagam/Piala/Plakat dll)</t>
  </si>
  <si>
    <t>Beban Bahan dan Alat Kesehatan</t>
  </si>
  <si>
    <t xml:space="preserve">Jumlah Beban Persediaan  </t>
  </si>
  <si>
    <t xml:space="preserve">Beban Barang danJasa terdiri dari beban barang dan jasa berupa konsumsi atas barang dan/atau jasa dalam rangka penyelenggaraan kegiatan entitas serta beban lain-lain berupa beban yang timbul karena penggunaan alokasi belanja modal yang tidak menghasilkan aset tetap.   </t>
  </si>
  <si>
    <t>Uraian  Beban Jasa</t>
  </si>
  <si>
    <t>Beban Jasa Kantor</t>
  </si>
  <si>
    <t>Beban Telepon</t>
  </si>
  <si>
    <t>Beban Air</t>
  </si>
  <si>
    <t>Beban Listrik</t>
  </si>
  <si>
    <t>Beban Surat Kabar/Majalah</t>
  </si>
  <si>
    <t>Beban Kawat/Faksimili/Internet/Intranet/TV Kabel/TV Satelit</t>
  </si>
  <si>
    <t>Beban Paket/Pengiriman</t>
  </si>
  <si>
    <t>Beban Sertifikasi</t>
  </si>
  <si>
    <t>Beban Jasa Tenaga ahli/ Instruktur/Narasumber</t>
  </si>
  <si>
    <t>Beban Pajak Penerangan jalam Umum (PPJU)</t>
  </si>
  <si>
    <t>Beban Air Time Radio Swasta</t>
  </si>
  <si>
    <t>Beban Jasa Perawatan dan Pengobatan</t>
  </si>
  <si>
    <t>Beban jasa General Chek Up</t>
  </si>
  <si>
    <t>Beban Uang saku kegiatan/rapat</t>
  </si>
  <si>
    <t>Beban Retribusi Kebersihan kota</t>
  </si>
  <si>
    <t>Beban Jasa PHL/Penjaga malam/Petugas Kebersihan/Ketertiban</t>
  </si>
  <si>
    <t>Beban Pajak Bumi dan Bangunan</t>
  </si>
  <si>
    <t>Beban Upah Tenaga/Tukang/Pekerja/Operator/Petugas Pelaksana</t>
  </si>
  <si>
    <t>Beban Jasa service dan Penggantian komponen</t>
  </si>
  <si>
    <t>Beban Propaganda, Penerangan dan publikasi</t>
  </si>
  <si>
    <t>Beban Perawatan alat Kesehatan dan Laboratorium</t>
  </si>
  <si>
    <t>Beban Jasa Pelayanan umum</t>
  </si>
  <si>
    <t>Beban Jasa Pelayanan Medis</t>
  </si>
  <si>
    <t>Beban Jasa Biro Perjalanan</t>
  </si>
  <si>
    <t>Beban Jasa/Pengadaan/Pemeliharaan/Penyesuaian Sistem Aplikasi</t>
  </si>
  <si>
    <t>Beban Iuran kepesertaan</t>
  </si>
  <si>
    <t>Beban Penetapan NIP CPNS</t>
  </si>
  <si>
    <t>Beban stimulan pembangunan</t>
  </si>
  <si>
    <t>Beban Jasa Pihak Ketiga</t>
  </si>
  <si>
    <t>Beban Jasa Laboratorium Kesehatan Hewan</t>
  </si>
  <si>
    <t>Beban Jasa administrasi Perijinan Penyiaran</t>
  </si>
  <si>
    <t>Beban Jasa administrasi Perijinan</t>
  </si>
  <si>
    <t>Beban Jasa Tenaga Wiyata Bhakti Tenaga Pendidik/Kependidikan</t>
  </si>
  <si>
    <t>Beban Jasa Tenaga Kelembagaan Pemberdayaan Masyarakat</t>
  </si>
  <si>
    <t>Beban Jasa Tenaga Kelembagaan Pemberdayaan Perempuan</t>
  </si>
  <si>
    <t>Beban jasa hiburan/kesenian</t>
  </si>
  <si>
    <t>Beban jasa pengelolaan LPPL</t>
  </si>
  <si>
    <t>Beban Jasa Tenaga Kesejahteraan Sosial Kecamatan</t>
  </si>
  <si>
    <t>Beban administrasi bank/transfer</t>
  </si>
  <si>
    <t>Beban Premi Asuransi</t>
  </si>
  <si>
    <t>Beban Premi Asuransi Kesehatan dan geberal check up</t>
  </si>
  <si>
    <t>Beban Premi Asuransi Barang Milik Daerah</t>
  </si>
  <si>
    <t>Beban Sewa Rumah/Gedung/Gudang/Parkir</t>
  </si>
  <si>
    <t>Beban Sewa Gedung/Kantor/Tempat</t>
  </si>
  <si>
    <t>Beban Sewa Ruang Rapat/Pertemuan</t>
  </si>
  <si>
    <t>Beban sewa Penginapan dan Akomodasi</t>
  </si>
  <si>
    <t>Beban Sewa Tanah</t>
  </si>
  <si>
    <t>Beban Sewa panggung/Stan</t>
  </si>
  <si>
    <t>Beban Sewa Sarana Mobilitas</t>
  </si>
  <si>
    <t>Beban Sewa Sarana Mobilitas Darat</t>
  </si>
  <si>
    <t>Beban Sewa Sarana Mobilitas Air</t>
  </si>
  <si>
    <t>Beban Sewa Alat Berat</t>
  </si>
  <si>
    <t>Beban Sewa Eskavator</t>
  </si>
  <si>
    <t>Sewa alat-alat berat</t>
  </si>
  <si>
    <t>Beban Sewa Perlengkapan dan Peralatan Kantor</t>
  </si>
  <si>
    <t>Beban Sewa Meja Kursi</t>
  </si>
  <si>
    <t>Beban Sewa Komputer dan Printer</t>
  </si>
  <si>
    <t>Beban Sewa Proyektor</t>
  </si>
  <si>
    <t>Beban Sewa Generator</t>
  </si>
  <si>
    <t>Beban Sewa Tenda</t>
  </si>
  <si>
    <t>Beban Sewa Pakaian Adat/Tradisional</t>
  </si>
  <si>
    <t>Beban sewa alat Elektronik</t>
  </si>
  <si>
    <t>Beban Sewa Alat Rumah tangga</t>
  </si>
  <si>
    <t>Beban Sewa Atat-alat Tradisional</t>
  </si>
  <si>
    <t>Beban Sewa alat-alat Sarana perlengkapan olahraga</t>
  </si>
  <si>
    <t>Beban Sewa Peralatan Praktek</t>
  </si>
  <si>
    <t>Beban Makanan dan  Minuman</t>
  </si>
  <si>
    <t>Beban Makanan Dan Minuman Harian Pegawai</t>
  </si>
  <si>
    <t>Beban Makanan Dan Minuman Rapat</t>
  </si>
  <si>
    <t>Beban Makanan Dan Minuman Tamu</t>
  </si>
  <si>
    <t>Beban Extra Fooding</t>
  </si>
  <si>
    <t>Beban Makan dan Minum Jamuan Peserta/Panitia</t>
  </si>
  <si>
    <t>Beban makanan dan Minuman Lembur</t>
  </si>
  <si>
    <t>Beban Pakaian Dinas dan Atributnya</t>
  </si>
  <si>
    <t>Beban Pakaian Sipil Harian (PSH)</t>
  </si>
  <si>
    <t>Beban Pakaian Sipil Lengkap (PSL)</t>
  </si>
  <si>
    <t>Beban Pakaian Dinas Harian (PDH)</t>
  </si>
  <si>
    <t>Beban Pakaian Dinas Upacara (PDU)</t>
  </si>
  <si>
    <t>Beban Pakaian Sipil Resmi (PSR)</t>
  </si>
  <si>
    <t>Beban Pakaian Dinas Lapangan</t>
  </si>
  <si>
    <t>Beban Pakaian Kerja</t>
  </si>
  <si>
    <t>Beban Pakaian Kerja Lapangan</t>
  </si>
  <si>
    <t>Beban Pakaian khusus dan hari-hari tertentu</t>
  </si>
  <si>
    <t>Beban Pakaian Adat Daerah</t>
  </si>
  <si>
    <t>Beban Pakaian Batik Tradisional</t>
  </si>
  <si>
    <t>Beban Pakaian Olahraga</t>
  </si>
  <si>
    <t>Beban Pakaian Paskibra</t>
  </si>
  <si>
    <t>Beban Pakaian Seragam Organisasi</t>
  </si>
  <si>
    <t>Beban Kelengkapan Pakaian (Rompi dll)</t>
  </si>
  <si>
    <t>Beban Pakaian Seragam Tim</t>
  </si>
  <si>
    <t>Beban Beasiswa Pendidikan PNS</t>
  </si>
  <si>
    <t>Beban Beasiswa Tugas Belajar S2</t>
  </si>
  <si>
    <t>Beban kursus, pelatihan, sosialisasi dan bimbingan teknis PNS</t>
  </si>
  <si>
    <t>Beban Kursus-Kursus Singkat/Pelatihan</t>
  </si>
  <si>
    <t>Beban Seminar, lokakarya</t>
  </si>
  <si>
    <t>Beban Jasa Konsultansi</t>
  </si>
  <si>
    <t>Beban Jasa Konsultansi Perencanaan</t>
  </si>
  <si>
    <t>Beban Barang Dana BOS</t>
  </si>
  <si>
    <t>Beban Barang Dana Bantuan Operasional PAUD</t>
  </si>
  <si>
    <t>Beban Barang dan Jasa BLUD</t>
  </si>
  <si>
    <t>Beban Barang dan Jasa BLUD Rumah Sakit</t>
  </si>
  <si>
    <t>Beban Barang dan Jasa BLUD Puskesmas</t>
  </si>
  <si>
    <t xml:space="preserve">Jumlah Beban Jasa </t>
  </si>
  <si>
    <t>Belanja Perawatan Kendaraan Bermotor</t>
  </si>
  <si>
    <t xml:space="preserve">Belanja Pemeliharaan </t>
  </si>
  <si>
    <t>Jumlah Beban Pemeliharaan</t>
  </si>
  <si>
    <t>Belanja Perjalanan Dinas</t>
  </si>
  <si>
    <t>Belanja Perjalanan Pindah Tugas</t>
  </si>
  <si>
    <t>Jumlah Beban Perjalanan Dinas</t>
  </si>
  <si>
    <t>h.</t>
  </si>
  <si>
    <t xml:space="preserve">Beban Hibah </t>
  </si>
  <si>
    <t xml:space="preserve">Beban Hibah/Barang untuk Diserahkan kepada Masyarakat merupakan beban pemerintah dalam bentuk barang atau jasa kepada masyarakat yang bertujuan untuk mencapai tujuan entitas. </t>
  </si>
  <si>
    <t>Belanja Hibah Kepada Pemerintahan Desa</t>
  </si>
  <si>
    <t>Belanja Hibah kepada Badan/Lembaga/Organisasi</t>
  </si>
  <si>
    <t>Belanja Hibah kepada Kelompok/Anggota Masyarakat</t>
  </si>
  <si>
    <t>Belanja Hibah Dana BOP</t>
  </si>
  <si>
    <t>Belanja Hibah Barang atau Jasa kepada Masyarakat/Pihak Ketiga</t>
  </si>
  <si>
    <t>Jumlah Beban Hibah</t>
  </si>
  <si>
    <t>i.</t>
  </si>
  <si>
    <t xml:space="preserve">Beban Bantuan Sosial </t>
  </si>
  <si>
    <t>Belanja Bantuan Sosial kepada Organisasi Sosial Kemasyarakatan</t>
  </si>
  <si>
    <t>Belanja Bantuan Sosial Barang kepada Pihak Ketiga / Masyarakat</t>
  </si>
  <si>
    <t>Jumlah Beban Bantuan Sosial</t>
  </si>
  <si>
    <t>j.</t>
  </si>
  <si>
    <t xml:space="preserve">Beban Penyusutan dan Amortisasi </t>
  </si>
  <si>
    <t xml:space="preserve">Beban Penyusutan merupakan beban untuk mencatat alokasi sistematis atas nilai suatu aset tetap yang dapat disusutkan (depreciable assets) selama masa manfaat aset yang bersangkutan. </t>
  </si>
  <si>
    <t>Beban penyusutan peralatan dan mesin</t>
  </si>
  <si>
    <t>Beban penyusutan gedung dan bangunan</t>
  </si>
  <si>
    <t>Beban penyusutan jalan, irigasi dan jaringan</t>
  </si>
  <si>
    <t>Beban Amortisasi Aset Lainnya</t>
  </si>
  <si>
    <t xml:space="preserve">Jumlah Beban Penyusutan </t>
  </si>
  <si>
    <t>k.</t>
  </si>
  <si>
    <t xml:space="preserve">Beban Transfer merupakan beban berupa pengeluaran uang/kewajiban untuk mengeluarkan uang dari entitas pelaporan kepada suatu entitas pelaporan lain yang diwajibkan oleh peraturan perundang-undangan dalam suatu periode. </t>
  </si>
  <si>
    <t>Belanja Bagi Hasil Pajak Daerah Kepada Pemerintahan Desa</t>
  </si>
  <si>
    <t>Belanja Bagi Hasil Retribusi Daerah Kepada Pemerintah Desa</t>
  </si>
  <si>
    <t>Belanja Bantuan Keuangan kepada Desa</t>
  </si>
  <si>
    <t>Belanja Bantuan Kepada Partai Politik</t>
  </si>
  <si>
    <t>Jumlah Beban Transfer</t>
  </si>
  <si>
    <t>l.</t>
  </si>
  <si>
    <t>Beban Lain-lain.</t>
  </si>
  <si>
    <t>Beban Lain-Lain diantaranya untuk menampung penyisihan piutang tidak tertagih, yaitu merupakan cadangan yang harus dibentuk berdasarkan prosentase tertentu sesuai kebijakan yang berlaku bertujuan untuk menyajikan piutang dalam neraca secara nilai bersih yang dapat direalisasikan (Net Realizable value), sebagaimana tabel berikut :</t>
  </si>
  <si>
    <t>Uraian Beban Lain-lain</t>
  </si>
  <si>
    <t>Penyisihan Piutang tidak tertagih</t>
  </si>
  <si>
    <t>Beban Lainnya</t>
  </si>
  <si>
    <t>3.4.3. Kegiatan Non Opeasional</t>
  </si>
  <si>
    <t>3.4.4. Pos Luar Biasa</t>
  </si>
  <si>
    <t xml:space="preserve"> 1.   Pendapatan Luar biasa</t>
  </si>
  <si>
    <t xml:space="preserve"> 2.   Beban Luar biasa</t>
  </si>
  <si>
    <t>3.3.4. Surplus/Defisit LO</t>
  </si>
  <si>
    <t>3.4.</t>
  </si>
  <si>
    <t>LAPORAN PERUBAHAN EKUITAS</t>
  </si>
  <si>
    <t>3.4.1.  Ekuitas Awal</t>
  </si>
  <si>
    <t>3.4.3. Dampak Kumulatif Perubahan Kebijakan/Kesalahan Mendasar</t>
  </si>
  <si>
    <t xml:space="preserve">a. Koreksi yang menambah ekuitas awal </t>
  </si>
  <si>
    <t>Mutasi Karcis Dari BPPKAD</t>
  </si>
  <si>
    <t>b. Koreksi yang mengurangi ekuitas awal</t>
  </si>
  <si>
    <t>Mutasi AA9974NF Dari BPPKAD</t>
  </si>
  <si>
    <t>Mutasi AA9607PF Dari BPPKAD</t>
  </si>
  <si>
    <t>Mutasi AA9603PF Dari BPPKAD</t>
  </si>
  <si>
    <t>Mutasi AA9602PF Dari BPKKAD</t>
  </si>
  <si>
    <t>Mutasi AA93F Dari Bag Hukum</t>
  </si>
  <si>
    <t>Mutasi AA9509ZF Dari Set DPRD</t>
  </si>
  <si>
    <t>BAB IV</t>
  </si>
  <si>
    <t>PENJELASAN ATAS INFORMASI NON KEUANGAN</t>
  </si>
  <si>
    <t>BAB V</t>
  </si>
  <si>
    <t>PENUTUP</t>
  </si>
  <si>
    <r>
      <t xml:space="preserve">               </t>
    </r>
    <r>
      <rPr>
        <sz val="12"/>
        <color indexed="8"/>
        <rFont val="Bookman Old Style"/>
        <family val="1"/>
      </rPr>
      <t>Wonosobo,              Januari  2017</t>
    </r>
  </si>
  <si>
    <t xml:space="preserve">         </t>
  </si>
  <si>
    <t>2.1.1. Ringkasan Laporan Realisasi Anggaran Tahun Anggaran 2020</t>
  </si>
  <si>
    <t xml:space="preserve">Selama periode berjalan, Kelurahan Kepil telah mengadakan revisi Dokumen Pelaksanaan  Anggaran Perubahan (DPAP) dari DPA awal. </t>
  </si>
  <si>
    <t xml:space="preserve"> Belanja Bantuan Sosial</t>
  </si>
  <si>
    <t>Realisasi Pendapatan, Belanja dan Pembiayaan untuk periode yang berakhir pada tanggal 31 Desember 2020 sebagaimana tabel dibawah ini :</t>
  </si>
  <si>
    <t>Realisasi TA 2020</t>
  </si>
  <si>
    <t>Pembiayaan Netto untuk periode yang berakhir pada 31 Desember 2020 adalah sebesar Rp. 0.00 atau mencapai  0.00% dari anggaran yang ditetapkan sebesar Rp. 0.00.</t>
  </si>
  <si>
    <t>2.1.2. Realisasi TA 2020 Dibandingkan Dengan Realisasi TA 2019</t>
  </si>
  <si>
    <t>Perbandingan realisasi Tahun Anggaran 2020 dengan realisasi Tahun Anggaran2019 sebagaimana pada tabel berikut :</t>
  </si>
  <si>
    <t>Realisasi TA 2019</t>
  </si>
  <si>
    <t>2.2  Hambatan Dan Kendala Yang Dihadapi.</t>
  </si>
  <si>
    <t>Anggaran (Rp)</t>
  </si>
  <si>
    <t>Realisasi (Rp.)</t>
  </si>
  <si>
    <t xml:space="preserve"> Pendapatan RetribusiDaerah</t>
  </si>
  <si>
    <t xml:space="preserve">Pendapatan Tahun Anggaran 2020 dapat terealisasi sebesar Rp. 2.658.192.700,00 atau 57.35% dari realisasi Tahun Anggaran 2019 sebesar Rp. 6.232.058.197,00 </t>
  </si>
  <si>
    <t>Belanja Tahun Anggaran 2020 dapat terealisasi sebesar Rp. 8.707.075.281,00 atau  66,95 % dari realisasi belanja Tahun Anggaran 2019 sebesar Rp. 26.344.048.071,00.</t>
  </si>
  <si>
    <t>Sebagaimana halnya dengan  proses  Penyusunan  APBD dan Perubahan APBD, maka dalam penyusunan Pertanggungjawaban Pelaksanaan  Anggaran Pendapatan dan Belanja  Dinas Pariwisata Dan Kebudayaan Kabupaten Wonosobo Tahun Anggaran 2020 ini tetap berpedoman pada ketentuan dan peraturan perundang-undangan yang berlaku.</t>
  </si>
  <si>
    <t>Catatan Atas Laporan Keuangan Dinas Pariwisata Dan KebudayaanKabupaten Wonosobo Tahun  Anggaran 2020 disusun agar dapat digunakan oleh pengguna dalam memahami dan membandingkannya dengan laporan keuangan entitas lainnya, Catatan atas Laporan Keuangan sekurang – kurangnya disajikan dengan susunan sebagai berikut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</si>
</sst>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 #,##0_-;_-* &quot;-&quot;_-;_-@_-"/>
    <numFmt numFmtId="43" formatCode="_-* #,##0.00_-;\-* #,##0.00_-;_-* &quot;-&quot;??_-;_-@_-"/>
    <numFmt numFmtId="164" formatCode="_(* #,##0_);_(* \(#,##0\);_(* &quot;-&quot;_);_(@_)"/>
    <numFmt numFmtId="165" formatCode="_(* #,##0.00_);_(* \(#,##0.00\);_(* &quot;-&quot;??_);_(@_)"/>
    <numFmt numFmtId="167" formatCode="_(* #,##0.00_);_(* \(#,##0.00\);_(* &quot;-&quot;_);_(@_)"/>
    <numFmt numFmtId="168" formatCode="_(* #,##0.0_);_(* \(#,##0.0\);_(* &quot;-&quot;_);_(@_)"/>
    <numFmt numFmtId="169" formatCode="_(&quot;Rp&quot;* #,##0_);_(&quot;Rp&quot;* \(#,##0\);_(&quot;Rp&quot;* &quot;-&quot;_);_(@_)"/>
    <numFmt numFmtId="170" formatCode="_(* #,##0_);_(* \(#,##0\);_(* &quot;-&quot;??_);_(@_)"/>
    <numFmt numFmtId="171" formatCode="_(* #,##0.000_);_(* \(#,##0.000\);_(* &quot;-&quot;_);_(@_)"/>
    <numFmt numFmtId="172" formatCode="_(* #,##0.0000_);_(* \(#,##0.0000\);_(* &quot;-&quot;_);_(@_)"/>
  </numFmts>
  <fonts count="127" x14ac:knownFonts="1">
    <font>
      <sz val="10"/>
      <color rgb="FF000000"/>
      <name val="Times New Roman"/>
      <charset val="204"/>
    </font>
    <font>
      <sz val="11"/>
      <color theme="1"/>
      <name val="Calibri"/>
      <family val="2"/>
      <scheme val="minor"/>
    </font>
    <font>
      <sz val="10"/>
      <color rgb="FF000000"/>
      <name val="Times New Roman"/>
      <charset val="204"/>
    </font>
    <font>
      <b/>
      <sz val="11"/>
      <color theme="0"/>
      <name val="Bookman Old Style"/>
      <family val="1"/>
    </font>
    <font>
      <b/>
      <sz val="11"/>
      <color theme="1"/>
      <name val="Bookman Old Style"/>
      <family val="1"/>
    </font>
    <font>
      <sz val="11"/>
      <color theme="1"/>
      <name val="Bookman Old Style"/>
      <family val="1"/>
    </font>
    <font>
      <sz val="8"/>
      <color theme="1"/>
      <name val="Bookman Old Style"/>
      <family val="1"/>
    </font>
    <font>
      <b/>
      <sz val="11"/>
      <name val="Bookman Old Style"/>
      <family val="1"/>
    </font>
    <font>
      <sz val="11"/>
      <name val="Bookman Old Style"/>
      <family val="1"/>
    </font>
    <font>
      <i/>
      <sz val="8"/>
      <color theme="3"/>
      <name val="Bookman Old Style"/>
      <family val="1"/>
    </font>
    <font>
      <b/>
      <sz val="11"/>
      <color theme="3" tint="-0.249977111117893"/>
      <name val="Bookman Old Style"/>
      <family val="1"/>
    </font>
    <font>
      <sz val="11"/>
      <color rgb="FF000000"/>
      <name val="Bookman Old Style"/>
      <family val="1"/>
    </font>
    <font>
      <sz val="8"/>
      <color theme="3"/>
      <name val="Bookman Old Style"/>
      <family val="1"/>
    </font>
    <font>
      <b/>
      <sz val="11"/>
      <color indexed="8"/>
      <name val="Bookman Old Style"/>
      <family val="1"/>
    </font>
    <font>
      <sz val="11"/>
      <color indexed="8"/>
      <name val="Bookman Old Style"/>
      <family val="1"/>
    </font>
    <font>
      <b/>
      <sz val="11"/>
      <color rgb="FF000000"/>
      <name val="Bookman Old Style"/>
      <family val="1"/>
    </font>
    <font>
      <sz val="11"/>
      <color rgb="FFFF0000"/>
      <name val="Bookman Old Style"/>
      <family val="1"/>
    </font>
    <font>
      <sz val="10"/>
      <color theme="1"/>
      <name val="Bookman Old Style"/>
      <family val="1"/>
    </font>
    <font>
      <sz val="8"/>
      <name val="Bookman Old Style"/>
      <family val="1"/>
    </font>
    <font>
      <i/>
      <sz val="8"/>
      <name val="Bookman Old Style"/>
      <family val="1"/>
    </font>
    <font>
      <sz val="10"/>
      <color rgb="FF000000"/>
      <name val="Bookman Old Style"/>
      <family val="1"/>
    </font>
    <font>
      <i/>
      <sz val="11"/>
      <color rgb="FF000000"/>
      <name val="Bookman Old Style"/>
      <family val="1"/>
    </font>
    <font>
      <sz val="9"/>
      <color rgb="FF000000"/>
      <name val="Bookman Old Style"/>
      <family val="1"/>
    </font>
    <font>
      <sz val="11"/>
      <color theme="7"/>
      <name val="Bookman Old Style"/>
      <family val="1"/>
    </font>
    <font>
      <b/>
      <sz val="9"/>
      <color rgb="FF000000"/>
      <name val="Bookman Old Style"/>
      <family val="1"/>
    </font>
    <font>
      <sz val="9"/>
      <color theme="1"/>
      <name val="Bookman Old Style"/>
      <family val="1"/>
    </font>
    <font>
      <sz val="7"/>
      <color theme="1"/>
      <name val="Bookman Old Style"/>
      <family val="1"/>
    </font>
    <font>
      <sz val="11"/>
      <name val="Calibri"/>
      <family val="2"/>
      <scheme val="minor"/>
    </font>
    <font>
      <sz val="11"/>
      <color rgb="FF7030A0"/>
      <name val="Bookman Old Style"/>
      <family val="1"/>
    </font>
    <font>
      <b/>
      <sz val="10"/>
      <color rgb="FF000000"/>
      <name val="Bookman Old Style"/>
      <family val="1"/>
    </font>
    <font>
      <i/>
      <sz val="8"/>
      <color rgb="FF000000"/>
      <name val="Bookman Old Style"/>
      <family val="1"/>
    </font>
    <font>
      <sz val="7"/>
      <color rgb="FF000000"/>
      <name val="Bookman Old Style"/>
      <family val="1"/>
    </font>
    <font>
      <i/>
      <sz val="9"/>
      <color rgb="FF000000"/>
      <name val="Bookman Old Style"/>
      <family val="1"/>
    </font>
    <font>
      <i/>
      <sz val="10"/>
      <color rgb="FF000000"/>
      <name val="Bookman Old Style"/>
      <family val="1"/>
    </font>
    <font>
      <sz val="8"/>
      <color rgb="FF000000"/>
      <name val="Bookman Old Style"/>
      <family val="1"/>
    </font>
    <font>
      <b/>
      <sz val="7"/>
      <color rgb="FF000000"/>
      <name val="Bookman Old Style"/>
      <family val="1"/>
    </font>
    <font>
      <b/>
      <sz val="8"/>
      <color rgb="FF000000"/>
      <name val="Bookman Old Style"/>
      <family val="1"/>
    </font>
    <font>
      <b/>
      <sz val="11"/>
      <color rgb="FFFF0000"/>
      <name val="Bookman Old Style"/>
      <family val="1"/>
    </font>
    <font>
      <b/>
      <i/>
      <sz val="10"/>
      <color theme="1"/>
      <name val="Bookman Old Style"/>
      <family val="1"/>
    </font>
    <font>
      <b/>
      <i/>
      <sz val="10"/>
      <color indexed="8"/>
      <name val="Bookman Old Style"/>
      <family val="1"/>
    </font>
    <font>
      <b/>
      <i/>
      <sz val="11"/>
      <color rgb="FFFF0000"/>
      <name val="Bookman Old Style"/>
      <family val="1"/>
    </font>
    <font>
      <sz val="11"/>
      <color indexed="12"/>
      <name val="Bookman Old Style"/>
      <family val="1"/>
    </font>
    <font>
      <b/>
      <sz val="10"/>
      <name val="Bookman Old Style"/>
      <family val="1"/>
    </font>
    <font>
      <sz val="6"/>
      <name val="Bookman Old Style"/>
      <family val="1"/>
    </font>
    <font>
      <b/>
      <sz val="6"/>
      <name val="Bookman Old Style"/>
      <family val="1"/>
    </font>
    <font>
      <sz val="9"/>
      <name val="Bookman Old Style"/>
      <family val="1"/>
    </font>
    <font>
      <b/>
      <sz val="9"/>
      <name val="Bookman Old Style"/>
      <family val="1"/>
    </font>
    <font>
      <sz val="10"/>
      <name val="Bookman Old Style"/>
      <family val="1"/>
    </font>
    <font>
      <sz val="11"/>
      <color theme="9" tint="-0.249977111117893"/>
      <name val="Bookman Old Style"/>
      <family val="1"/>
    </font>
    <font>
      <sz val="11"/>
      <color theme="3" tint="-0.249977111117893"/>
      <name val="Bookman Old Style"/>
      <family val="1"/>
    </font>
    <font>
      <sz val="10"/>
      <color theme="3" tint="-0.249977111117893"/>
      <name val="Bookman Old Style"/>
      <family val="1"/>
    </font>
    <font>
      <b/>
      <sz val="9"/>
      <color theme="1"/>
      <name val="Bookman Old Style"/>
      <family val="1"/>
    </font>
    <font>
      <b/>
      <sz val="8"/>
      <color theme="1"/>
      <name val="Bookman Old Style"/>
      <family val="1"/>
    </font>
    <font>
      <sz val="10.5"/>
      <color rgb="FF000000"/>
      <name val="Bookman Old Style"/>
      <family val="1"/>
    </font>
    <font>
      <sz val="9"/>
      <color rgb="FFFF0000"/>
      <name val="Bookman Old Style"/>
      <family val="1"/>
    </font>
    <font>
      <i/>
      <sz val="10"/>
      <color rgb="FFFF0000"/>
      <name val="Bookman Old Style"/>
      <family val="1"/>
    </font>
    <font>
      <b/>
      <i/>
      <sz val="10"/>
      <color rgb="FFFF0000"/>
      <name val="Bookman Old Style"/>
      <family val="1"/>
    </font>
    <font>
      <b/>
      <sz val="10"/>
      <color theme="1"/>
      <name val="Bookman Old Style"/>
      <family val="1"/>
    </font>
    <font>
      <sz val="10"/>
      <color rgb="FFFF0000"/>
      <name val="Bookman Old Style"/>
      <family val="1"/>
    </font>
    <font>
      <b/>
      <sz val="10"/>
      <color rgb="FFFF0000"/>
      <name val="Bookman Old Style"/>
      <family val="1"/>
    </font>
    <font>
      <sz val="8"/>
      <color rgb="FFFF0000"/>
      <name val="Bookman Old Style"/>
      <family val="1"/>
    </font>
    <font>
      <b/>
      <sz val="10.5"/>
      <color rgb="FF000000"/>
      <name val="Bookman Old Style"/>
      <family val="1"/>
    </font>
    <font>
      <i/>
      <sz val="9"/>
      <color rgb="FFFF0000"/>
      <name val="Bookman Old Style"/>
      <family val="1"/>
    </font>
    <font>
      <sz val="10.5"/>
      <name val="Bookman Old Style"/>
      <family val="1"/>
    </font>
    <font>
      <b/>
      <i/>
      <sz val="11"/>
      <name val="Bookman Old Style"/>
      <family val="1"/>
    </font>
    <font>
      <sz val="7"/>
      <color rgb="FFFF0000"/>
      <name val="Bookman Old Style"/>
      <family val="1"/>
    </font>
    <font>
      <b/>
      <sz val="8"/>
      <color rgb="FFFF0000"/>
      <name val="Bookman Old Style"/>
      <family val="1"/>
    </font>
    <font>
      <b/>
      <sz val="6"/>
      <color rgb="FFFF0000"/>
      <name val="Bookman Old Style"/>
      <family val="1"/>
    </font>
    <font>
      <b/>
      <sz val="7"/>
      <color rgb="FFFF0000"/>
      <name val="Bookman Old Style"/>
      <family val="1"/>
    </font>
    <font>
      <sz val="28"/>
      <color rgb="FFFF0000"/>
      <name val="Bookman Old Style"/>
      <family val="1"/>
    </font>
    <font>
      <i/>
      <sz val="10"/>
      <name val="Bookman Old Style"/>
      <family val="1"/>
    </font>
    <font>
      <sz val="24"/>
      <color rgb="FFFF0000"/>
      <name val="Bookman Old Style"/>
      <family val="1"/>
    </font>
    <font>
      <sz val="6"/>
      <color rgb="FF000000"/>
      <name val="Bookman Old Style"/>
      <family val="1"/>
    </font>
    <font>
      <b/>
      <i/>
      <sz val="11"/>
      <color rgb="FF000000"/>
      <name val="Bookman Old Style"/>
      <family val="1"/>
    </font>
    <font>
      <sz val="18"/>
      <color rgb="FFFF0000"/>
      <name val="Bookman Old Style"/>
      <family val="1"/>
    </font>
    <font>
      <b/>
      <sz val="10"/>
      <color theme="3" tint="-0.249977111117893"/>
      <name val="Bookman Old Style"/>
      <family val="1"/>
    </font>
    <font>
      <b/>
      <i/>
      <sz val="8"/>
      <color theme="3"/>
      <name val="Bookman Old Style"/>
      <family val="1"/>
    </font>
    <font>
      <sz val="11"/>
      <color indexed="63"/>
      <name val="Bookman Old Style"/>
      <family val="1"/>
    </font>
    <font>
      <i/>
      <sz val="11"/>
      <color indexed="63"/>
      <name val="Bookman Old Style"/>
      <family val="1"/>
    </font>
    <font>
      <b/>
      <sz val="11"/>
      <color indexed="63"/>
      <name val="Bookman Old Style"/>
      <family val="1"/>
    </font>
    <font>
      <b/>
      <i/>
      <sz val="8"/>
      <name val="Bookman Old Style"/>
      <family val="1"/>
    </font>
    <font>
      <b/>
      <sz val="12"/>
      <color theme="1"/>
      <name val="Bookman Old Style"/>
      <family val="1"/>
    </font>
    <font>
      <sz val="18"/>
      <name val="Bookman Old Style"/>
      <family val="1"/>
    </font>
    <font>
      <i/>
      <sz val="9"/>
      <name val="Bookman Old Style"/>
      <family val="1"/>
    </font>
    <font>
      <i/>
      <sz val="11"/>
      <color theme="1"/>
      <name val="Bookman Old Style"/>
      <family val="1"/>
    </font>
    <font>
      <b/>
      <i/>
      <sz val="9"/>
      <name val="Bookman Old Style"/>
      <family val="1"/>
    </font>
    <font>
      <b/>
      <sz val="8"/>
      <name val="Bookman Old Style"/>
      <family val="1"/>
    </font>
    <font>
      <sz val="12"/>
      <color theme="1"/>
      <name val="Bookman Old Style"/>
      <family val="1"/>
    </font>
    <font>
      <i/>
      <sz val="10"/>
      <color theme="1"/>
      <name val="Bookman Old Style"/>
      <family val="1"/>
    </font>
    <font>
      <i/>
      <sz val="11"/>
      <name val="Bookman Old Style"/>
      <family val="1"/>
    </font>
    <font>
      <sz val="22"/>
      <color rgb="FFFF0000"/>
      <name val="Bookman Old Style"/>
      <family val="1"/>
    </font>
    <font>
      <b/>
      <sz val="11"/>
      <color theme="4" tint="-0.249977111117893"/>
      <name val="Bookman Old Style"/>
      <family val="1"/>
    </font>
    <font>
      <b/>
      <sz val="12"/>
      <name val="Bookman Old Style"/>
      <family val="1"/>
    </font>
    <font>
      <sz val="10"/>
      <name val="Arial"/>
      <family val="2"/>
    </font>
    <font>
      <sz val="12"/>
      <name val="Bookman Old Style"/>
      <family val="1"/>
    </font>
    <font>
      <b/>
      <u/>
      <sz val="12"/>
      <color theme="1"/>
      <name val="Bookman Old Style"/>
      <family val="1"/>
    </font>
    <font>
      <sz val="12"/>
      <color indexed="8"/>
      <name val="Bookman Old Style"/>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MS Sans Serif"/>
      <family val="2"/>
    </font>
    <font>
      <sz val="12"/>
      <color rgb="FF000000"/>
      <name val="Bookman Old Style"/>
      <family val="1"/>
    </font>
    <font>
      <b/>
      <sz val="10"/>
      <color theme="1" tint="4.9989318521683403E-2"/>
      <name val="Bookman Old Style"/>
      <family val="1"/>
    </font>
    <font>
      <sz val="10"/>
      <color theme="1" tint="4.9989318521683403E-2"/>
      <name val="Bookman Old Style"/>
      <family val="1"/>
    </font>
    <font>
      <i/>
      <sz val="10"/>
      <color theme="1" tint="4.9989318521683403E-2"/>
      <name val="Bookman Old Style"/>
      <family val="1"/>
    </font>
    <font>
      <b/>
      <i/>
      <sz val="10"/>
      <color theme="1" tint="4.9989318521683403E-2"/>
      <name val="Bookman Old Style"/>
      <family val="1"/>
    </font>
    <font>
      <sz val="14"/>
      <name val="Bookman Old Style"/>
      <family val="1"/>
    </font>
    <font>
      <b/>
      <sz val="14"/>
      <name val="Bookman Old Style"/>
      <family val="1"/>
    </font>
    <font>
      <sz val="14"/>
      <color rgb="FF000000"/>
      <name val="Bookman Old Style"/>
      <family val="1"/>
    </font>
    <font>
      <sz val="12"/>
      <color theme="1" tint="4.9989318521683403E-2"/>
      <name val="Bookman Old Style"/>
      <family val="1"/>
    </font>
    <font>
      <b/>
      <sz val="12"/>
      <color theme="3" tint="-0.249977111117893"/>
      <name val="Bookman Old Style"/>
      <family val="1"/>
    </font>
    <font>
      <sz val="14"/>
      <color theme="1" tint="4.9989318521683403E-2"/>
      <name val="Bookman Old Style"/>
      <family val="1"/>
    </font>
    <font>
      <sz val="10"/>
      <color rgb="FF000000"/>
      <name val="Times New Roman"/>
      <family val="1"/>
    </font>
  </fonts>
  <fills count="38">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C000"/>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FF"/>
        <bgColor indexed="64"/>
      </patternFill>
    </fill>
    <fill>
      <patternFill patternType="solid">
        <fgColor rgb="FFCCFF99"/>
        <bgColor indexed="64"/>
      </patternFill>
    </fill>
    <fill>
      <patternFill patternType="solid">
        <fgColor theme="8"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
    <xf numFmtId="0" fontId="0" fillId="0" borderId="0"/>
    <xf numFmtId="164" fontId="2" fillId="0" borderId="0" applyFont="0" applyFill="0" applyBorder="0" applyAlignment="0" applyProtection="0"/>
    <xf numFmtId="43" fontId="2" fillId="0" borderId="0" applyFont="0" applyFill="0" applyBorder="0" applyAlignment="0" applyProtection="0"/>
    <xf numFmtId="0" fontId="93" fillId="0" borderId="0"/>
    <xf numFmtId="0" fontId="1" fillId="0" borderId="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19" borderId="0" applyNumberFormat="0" applyBorder="0" applyAlignment="0" applyProtection="0"/>
    <xf numFmtId="0" fontId="97" fillId="22"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7" borderId="0" applyNumberFormat="0" applyBorder="0" applyAlignment="0" applyProtection="0"/>
    <xf numFmtId="0" fontId="98" fillId="28" borderId="0" applyNumberFormat="0" applyBorder="0" applyAlignment="0" applyProtection="0"/>
    <xf numFmtId="0" fontId="98" fillId="29" borderId="0" applyNumberFormat="0" applyBorder="0" applyAlignment="0" applyProtection="0"/>
    <xf numFmtId="0" fontId="98" fillId="30" borderId="0" applyNumberFormat="0" applyBorder="0" applyAlignment="0" applyProtection="0"/>
    <xf numFmtId="0" fontId="98" fillId="31" borderId="0" applyNumberFormat="0" applyBorder="0" applyAlignment="0" applyProtection="0"/>
    <xf numFmtId="0" fontId="98" fillId="32" borderId="0" applyNumberFormat="0" applyBorder="0" applyAlignment="0" applyProtection="0"/>
    <xf numFmtId="0" fontId="98" fillId="27" borderId="0" applyNumberFormat="0" applyBorder="0" applyAlignment="0" applyProtection="0"/>
    <xf numFmtId="0" fontId="98" fillId="28" borderId="0" applyNumberFormat="0" applyBorder="0" applyAlignment="0" applyProtection="0"/>
    <xf numFmtId="0" fontId="98" fillId="33" borderId="0" applyNumberFormat="0" applyBorder="0" applyAlignment="0" applyProtection="0"/>
    <xf numFmtId="0" fontId="99" fillId="17" borderId="0" applyNumberFormat="0" applyBorder="0" applyAlignment="0" applyProtection="0"/>
    <xf numFmtId="0" fontId="100" fillId="34" borderId="16" applyNumberFormat="0" applyAlignment="0" applyProtection="0"/>
    <xf numFmtId="0" fontId="101" fillId="35" borderId="17"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1" fontId="93" fillId="0" borderId="0" applyFont="0" applyFill="0" applyBorder="0" applyAlignment="0" applyProtection="0"/>
    <xf numFmtId="41" fontId="93" fillId="0" borderId="0" applyFont="0" applyFill="0" applyBorder="0" applyAlignment="0" applyProtection="0"/>
    <xf numFmtId="43" fontId="93" fillId="0" borderId="0" applyFont="0" applyFill="0" applyBorder="0" applyAlignment="0" applyProtection="0"/>
    <xf numFmtId="43" fontId="1"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43" fontId="93" fillId="0" borderId="0" applyFont="0" applyFill="0" applyBorder="0" applyAlignment="0" applyProtection="0"/>
    <xf numFmtId="0" fontId="102" fillId="0" borderId="0" applyNumberFormat="0" applyFill="0" applyBorder="0" applyAlignment="0" applyProtection="0"/>
    <xf numFmtId="0" fontId="103" fillId="18" borderId="0" applyNumberFormat="0" applyBorder="0" applyAlignment="0" applyProtection="0"/>
    <xf numFmtId="0" fontId="104" fillId="0" borderId="18" applyNumberFormat="0" applyFill="0" applyAlignment="0" applyProtection="0"/>
    <xf numFmtId="0" fontId="105" fillId="0" borderId="19" applyNumberFormat="0" applyFill="0" applyAlignment="0" applyProtection="0"/>
    <xf numFmtId="0" fontId="106" fillId="0" borderId="20" applyNumberFormat="0" applyFill="0" applyAlignment="0" applyProtection="0"/>
    <xf numFmtId="0" fontId="106" fillId="0" borderId="0" applyNumberFormat="0" applyFill="0" applyBorder="0" applyAlignment="0" applyProtection="0"/>
    <xf numFmtId="0" fontId="107" fillId="21" borderId="16" applyNumberFormat="0" applyAlignment="0" applyProtection="0"/>
    <xf numFmtId="0" fontId="108" fillId="0" borderId="21" applyNumberFormat="0" applyFill="0" applyAlignment="0" applyProtection="0"/>
    <xf numFmtId="0" fontId="109" fillId="36" borderId="0" applyNumberFormat="0" applyBorder="0" applyAlignment="0" applyProtection="0"/>
    <xf numFmtId="0" fontId="93" fillId="0" borderId="0"/>
    <xf numFmtId="0" fontId="1" fillId="0" borderId="0"/>
    <xf numFmtId="0" fontId="114" fillId="0" borderId="0"/>
    <xf numFmtId="0" fontId="1" fillId="0" borderId="0"/>
    <xf numFmtId="0" fontId="93" fillId="37" borderId="22" applyNumberFormat="0" applyFont="0" applyAlignment="0" applyProtection="0"/>
    <xf numFmtId="0" fontId="110" fillId="34" borderId="23" applyNumberFormat="0" applyAlignment="0" applyProtection="0"/>
    <xf numFmtId="9" fontId="1" fillId="0" borderId="0" applyFont="0" applyFill="0" applyBorder="0" applyAlignment="0" applyProtection="0"/>
    <xf numFmtId="0" fontId="111" fillId="0" borderId="0" applyNumberFormat="0" applyFill="0" applyBorder="0" applyAlignment="0" applyProtection="0"/>
    <xf numFmtId="0" fontId="112" fillId="0" borderId="24" applyNumberFormat="0" applyFill="0" applyAlignment="0" applyProtection="0"/>
    <xf numFmtId="0" fontId="113" fillId="0" borderId="0" applyNumberFormat="0" applyFill="0" applyBorder="0" applyAlignment="0" applyProtection="0"/>
    <xf numFmtId="43" fontId="1" fillId="0" borderId="0" applyFont="0" applyFill="0" applyBorder="0" applyAlignment="0" applyProtection="0"/>
  </cellStyleXfs>
  <cellXfs count="1390">
    <xf numFmtId="0" fontId="0" fillId="0" borderId="0" xfId="0" applyFill="1" applyBorder="1" applyAlignment="1">
      <alignment horizontal="left" vertical="top"/>
    </xf>
    <xf numFmtId="0" fontId="4" fillId="0" borderId="0" xfId="0" applyFont="1"/>
    <xf numFmtId="0" fontId="5" fillId="0" borderId="0" xfId="0" applyFont="1"/>
    <xf numFmtId="0" fontId="6" fillId="0" borderId="0" xfId="0" applyFont="1"/>
    <xf numFmtId="0" fontId="8" fillId="0" borderId="0" xfId="0" applyFont="1"/>
    <xf numFmtId="0" fontId="9" fillId="0" borderId="0" xfId="0" applyFont="1" applyAlignment="1">
      <alignment vertical="top" wrapText="1"/>
    </xf>
    <xf numFmtId="0" fontId="7" fillId="0" borderId="0" xfId="0" quotePrefix="1" applyFont="1" applyAlignment="1">
      <alignment vertical="top"/>
    </xf>
    <xf numFmtId="0" fontId="7" fillId="0" borderId="0" xfId="0" applyFont="1" applyAlignment="1">
      <alignment vertical="top"/>
    </xf>
    <xf numFmtId="0" fontId="7" fillId="0" borderId="0" xfId="0" applyFont="1" applyAlignment="1">
      <alignment vertical="top" wrapText="1"/>
    </xf>
    <xf numFmtId="0" fontId="10" fillId="0" borderId="0" xfId="0" quotePrefix="1" applyFont="1" applyAlignment="1">
      <alignment vertical="top"/>
    </xf>
    <xf numFmtId="0" fontId="10" fillId="0" borderId="0" xfId="0" applyFont="1" applyAlignment="1">
      <alignment vertical="top"/>
    </xf>
    <xf numFmtId="0" fontId="9" fillId="0" borderId="0" xfId="0" applyFont="1" applyAlignment="1">
      <alignment horizontal="center" vertical="top" wrapText="1"/>
    </xf>
    <xf numFmtId="0" fontId="11" fillId="0" borderId="0" xfId="0" quotePrefix="1" applyFont="1" applyAlignment="1">
      <alignment horizontal="justify" vertical="top"/>
    </xf>
    <xf numFmtId="0" fontId="5" fillId="0" borderId="0" xfId="0" quotePrefix="1" applyFont="1"/>
    <xf numFmtId="0" fontId="12" fillId="0" borderId="0" xfId="0" applyFont="1" applyAlignment="1">
      <alignment vertical="top"/>
    </xf>
    <xf numFmtId="0" fontId="5" fillId="0" borderId="0" xfId="0" quotePrefix="1" applyFont="1" applyAlignment="1">
      <alignment vertical="top"/>
    </xf>
    <xf numFmtId="0" fontId="5" fillId="0" borderId="0" xfId="0" applyFont="1" applyAlignment="1">
      <alignment vertical="top"/>
    </xf>
    <xf numFmtId="0" fontId="5" fillId="0" borderId="0" xfId="0" applyFont="1" applyAlignment="1">
      <alignment horizontal="justify" vertical="top" wrapText="1"/>
    </xf>
    <xf numFmtId="0" fontId="12" fillId="0" borderId="0" xfId="0" applyFont="1"/>
    <xf numFmtId="0" fontId="15" fillId="0" borderId="0" xfId="0" applyFont="1" applyAlignment="1">
      <alignment vertical="center"/>
    </xf>
    <xf numFmtId="0" fontId="8" fillId="0" borderId="0" xfId="0" applyFont="1" applyAlignment="1">
      <alignment vertical="top" wrapText="1"/>
    </xf>
    <xf numFmtId="0" fontId="9" fillId="0" borderId="0" xfId="0" applyFont="1" applyAlignment="1">
      <alignment horizontal="left" vertical="top" wrapText="1"/>
    </xf>
    <xf numFmtId="0" fontId="10" fillId="0" borderId="0" xfId="0" applyFont="1" applyAlignment="1">
      <alignment horizontal="justify" vertical="top"/>
    </xf>
    <xf numFmtId="0" fontId="11" fillId="0" borderId="0" xfId="0" applyFont="1" applyAlignment="1">
      <alignment vertical="top"/>
    </xf>
    <xf numFmtId="0" fontId="5" fillId="0" borderId="0" xfId="0" applyFont="1" applyAlignment="1">
      <alignment vertical="top" wrapText="1"/>
    </xf>
    <xf numFmtId="0" fontId="7" fillId="0" borderId="0" xfId="0" quotePrefix="1" applyFont="1" applyAlignment="1">
      <alignment horizontal="justify" vertical="top"/>
    </xf>
    <xf numFmtId="0" fontId="12" fillId="0" borderId="0" xfId="0" applyFont="1" applyAlignment="1">
      <alignment vertical="top" wrapText="1"/>
    </xf>
    <xf numFmtId="0" fontId="5" fillId="0" borderId="0" xfId="0" applyFont="1" applyAlignment="1">
      <alignment horizontal="center" vertical="top"/>
    </xf>
    <xf numFmtId="0" fontId="8" fillId="0" borderId="0" xfId="0" applyFont="1" applyAlignment="1">
      <alignment horizontal="center" vertical="top"/>
    </xf>
    <xf numFmtId="0" fontId="11" fillId="0" borderId="0" xfId="0" applyFont="1" applyAlignment="1">
      <alignment vertical="top" wrapText="1"/>
    </xf>
    <xf numFmtId="0" fontId="15" fillId="0" borderId="0" xfId="0" quotePrefix="1" applyFont="1" applyAlignment="1">
      <alignment vertical="top"/>
    </xf>
    <xf numFmtId="0" fontId="17" fillId="0" borderId="0" xfId="0" applyFont="1" applyAlignment="1">
      <alignment vertical="top" wrapText="1"/>
    </xf>
    <xf numFmtId="0" fontId="4" fillId="0" borderId="0" xfId="0" applyFont="1" applyAlignment="1">
      <alignment horizontal="justify" vertical="top" wrapText="1"/>
    </xf>
    <xf numFmtId="0" fontId="6" fillId="0" borderId="0" xfId="0" applyFont="1" applyAlignment="1">
      <alignment vertical="top"/>
    </xf>
    <xf numFmtId="0" fontId="18" fillId="0" borderId="0" xfId="0" applyFont="1" applyAlignment="1">
      <alignment vertical="top"/>
    </xf>
    <xf numFmtId="0" fontId="8" fillId="0" borderId="0" xfId="0" applyFont="1" applyAlignment="1">
      <alignment vertical="top"/>
    </xf>
    <xf numFmtId="0" fontId="8" fillId="0" borderId="0" xfId="0" quotePrefix="1" applyFont="1" applyAlignment="1">
      <alignment vertical="top"/>
    </xf>
    <xf numFmtId="0" fontId="8" fillId="0" borderId="0" xfId="0" applyFont="1" applyAlignment="1">
      <alignment horizontal="justify" vertical="top" wrapText="1"/>
    </xf>
    <xf numFmtId="0" fontId="7" fillId="0" borderId="0" xfId="0" applyFont="1" applyAlignment="1">
      <alignment horizontal="justify" vertical="top" wrapText="1"/>
    </xf>
    <xf numFmtId="0" fontId="19" fillId="0" borderId="0" xfId="0" applyFont="1" applyAlignment="1">
      <alignment horizontal="left" vertical="top" wrapText="1"/>
    </xf>
    <xf numFmtId="0" fontId="8" fillId="0" borderId="0" xfId="0" applyFont="1" applyAlignment="1">
      <alignment horizontal="justify" vertical="center" wrapText="1"/>
    </xf>
    <xf numFmtId="0" fontId="15" fillId="0" borderId="7" xfId="0" applyFont="1" applyBorder="1" applyAlignment="1">
      <alignment horizontal="left" vertical="center"/>
    </xf>
    <xf numFmtId="0" fontId="5" fillId="0" borderId="6" xfId="0" applyFont="1" applyBorder="1" applyAlignment="1">
      <alignment vertical="top"/>
    </xf>
    <xf numFmtId="0" fontId="11" fillId="0" borderId="6" xfId="0" applyFont="1" applyBorder="1" applyAlignment="1">
      <alignment horizontal="center" vertical="center"/>
    </xf>
    <xf numFmtId="0" fontId="21" fillId="0" borderId="11" xfId="0" applyFont="1" applyBorder="1" applyAlignment="1">
      <alignment vertical="top"/>
    </xf>
    <xf numFmtId="0" fontId="11" fillId="0" borderId="4" xfId="0" applyFont="1" applyBorder="1" applyAlignment="1">
      <alignment vertical="top"/>
    </xf>
    <xf numFmtId="0" fontId="21" fillId="0" borderId="7" xfId="0" applyFont="1" applyBorder="1" applyAlignment="1">
      <alignment vertical="top"/>
    </xf>
    <xf numFmtId="0" fontId="11" fillId="0" borderId="6" xfId="0" applyFont="1" applyBorder="1" applyAlignment="1">
      <alignment vertical="top"/>
    </xf>
    <xf numFmtId="0" fontId="15" fillId="7" borderId="7" xfId="0" applyFont="1" applyFill="1" applyBorder="1" applyAlignment="1">
      <alignment vertical="top"/>
    </xf>
    <xf numFmtId="0" fontId="5" fillId="7" borderId="6" xfId="0" applyFont="1" applyFill="1" applyBorder="1" applyAlignment="1">
      <alignment vertical="top"/>
    </xf>
    <xf numFmtId="0" fontId="15" fillId="7" borderId="6" xfId="0" applyFont="1" applyFill="1" applyBorder="1" applyAlignment="1">
      <alignment vertical="top"/>
    </xf>
    <xf numFmtId="0" fontId="15" fillId="0" borderId="7" xfId="0" applyFont="1" applyBorder="1" applyAlignment="1">
      <alignment vertical="top"/>
    </xf>
    <xf numFmtId="0" fontId="15" fillId="0" borderId="6" xfId="0" applyFont="1" applyBorder="1" applyAlignment="1">
      <alignment vertical="top"/>
    </xf>
    <xf numFmtId="0" fontId="21" fillId="0" borderId="6" xfId="0" applyFont="1" applyBorder="1" applyAlignment="1">
      <alignment vertical="top"/>
    </xf>
    <xf numFmtId="0" fontId="15" fillId="0" borderId="0" xfId="0" applyFont="1" applyAlignment="1">
      <alignment vertical="top"/>
    </xf>
    <xf numFmtId="164" fontId="20" fillId="0" borderId="0" xfId="0" applyNumberFormat="1" applyFont="1" applyAlignment="1">
      <alignment horizontal="center" vertical="top" wrapText="1"/>
    </xf>
    <xf numFmtId="0" fontId="11" fillId="0" borderId="0" xfId="0" applyFont="1" applyAlignment="1">
      <alignment horizontal="justify" vertical="center" wrapText="1"/>
    </xf>
    <xf numFmtId="0" fontId="23" fillId="0" borderId="0" xfId="0" applyFont="1" applyAlignment="1">
      <alignment horizontal="justify" vertical="center" wrapText="1"/>
    </xf>
    <xf numFmtId="167" fontId="20" fillId="0" borderId="0" xfId="1" applyNumberFormat="1" applyFont="1" applyFill="1" applyBorder="1" applyAlignment="1">
      <alignment horizontal="center" vertical="top" wrapText="1"/>
    </xf>
    <xf numFmtId="167" fontId="22" fillId="0" borderId="0" xfId="1" applyNumberFormat="1" applyFont="1" applyFill="1" applyBorder="1" applyAlignment="1">
      <alignment horizontal="center" vertical="top" wrapText="1"/>
    </xf>
    <xf numFmtId="167" fontId="26" fillId="0" borderId="0" xfId="1" applyNumberFormat="1" applyFont="1" applyFill="1" applyBorder="1" applyAlignment="1">
      <alignment horizontal="center"/>
    </xf>
    <xf numFmtId="0" fontId="22" fillId="0" borderId="0" xfId="0" applyFont="1" applyAlignment="1">
      <alignment horizontal="center" vertical="center" wrapText="1"/>
    </xf>
    <xf numFmtId="0" fontId="11" fillId="0" borderId="0" xfId="0" applyFont="1" applyAlignment="1">
      <alignment horizontal="center" vertical="top"/>
    </xf>
    <xf numFmtId="0" fontId="11" fillId="0" borderId="0" xfId="0" applyFont="1" applyAlignment="1">
      <alignment horizontal="center" vertical="top" wrapText="1"/>
    </xf>
    <xf numFmtId="0" fontId="8" fillId="0" borderId="0" xfId="0" applyFont="1" applyAlignment="1">
      <alignment horizontal="center" vertical="top" wrapText="1"/>
    </xf>
    <xf numFmtId="0" fontId="16" fillId="0" borderId="0" xfId="0" applyFont="1" applyAlignment="1">
      <alignment horizontal="center" vertical="top"/>
    </xf>
    <xf numFmtId="165" fontId="11" fillId="0" borderId="0" xfId="0" applyNumberFormat="1" applyFont="1" applyAlignment="1">
      <alignment vertical="top"/>
    </xf>
    <xf numFmtId="0" fontId="27" fillId="0" borderId="0" xfId="0" applyFont="1" applyAlignment="1">
      <alignment horizontal="left" vertical="top" wrapText="1"/>
    </xf>
    <xf numFmtId="0" fontId="8" fillId="0" borderId="0" xfId="0" quotePrefix="1" applyFont="1" applyAlignment="1">
      <alignment horizontal="left" vertical="top" wrapText="1"/>
    </xf>
    <xf numFmtId="0" fontId="8" fillId="0" borderId="0" xfId="0" applyFont="1" applyAlignment="1">
      <alignment horizontal="left" vertical="top"/>
    </xf>
    <xf numFmtId="0" fontId="7" fillId="0" borderId="0" xfId="0" applyFont="1" applyAlignment="1">
      <alignment horizontal="left" vertical="top"/>
    </xf>
    <xf numFmtId="0" fontId="15" fillId="0" borderId="0" xfId="0" applyFont="1" applyAlignment="1">
      <alignment horizontal="left" vertical="top"/>
    </xf>
    <xf numFmtId="0" fontId="29" fillId="0" borderId="0" xfId="0" applyFont="1" applyAlignment="1">
      <alignment horizontal="right" vertical="center"/>
    </xf>
    <xf numFmtId="0" fontId="4"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top"/>
    </xf>
    <xf numFmtId="0" fontId="11" fillId="0" borderId="0" xfId="0" quotePrefix="1" applyFont="1" applyAlignment="1">
      <alignment vertical="top"/>
    </xf>
    <xf numFmtId="0" fontId="11" fillId="0" borderId="0" xfId="0" applyFont="1" applyAlignment="1">
      <alignment horizontal="justify" vertical="top" wrapText="1"/>
    </xf>
    <xf numFmtId="0" fontId="15" fillId="0" borderId="0" xfId="0" quotePrefix="1" applyFont="1" applyAlignment="1">
      <alignment horizontal="justify" vertical="top" wrapText="1"/>
    </xf>
    <xf numFmtId="0" fontId="15" fillId="0" borderId="0" xfId="0" applyFont="1" applyAlignment="1">
      <alignment horizontal="center" vertical="top" wrapText="1"/>
    </xf>
    <xf numFmtId="167" fontId="37" fillId="0" borderId="0" xfId="1" applyNumberFormat="1" applyFont="1" applyFill="1" applyBorder="1" applyAlignment="1">
      <alignment horizontal="left" vertical="top" wrapText="1"/>
    </xf>
    <xf numFmtId="0" fontId="38" fillId="0" borderId="0" xfId="0" applyFont="1" applyAlignment="1">
      <alignment horizontal="center" vertical="center"/>
    </xf>
    <xf numFmtId="0" fontId="39" fillId="0" borderId="0" xfId="0" applyFont="1" applyAlignment="1">
      <alignment horizontal="center" vertical="center" wrapText="1" readingOrder="1"/>
    </xf>
    <xf numFmtId="0" fontId="15" fillId="0" borderId="0" xfId="0" applyFont="1" applyAlignment="1">
      <alignment horizontal="center" vertical="center" wrapText="1"/>
    </xf>
    <xf numFmtId="164" fontId="24" fillId="0" borderId="0" xfId="0" applyNumberFormat="1" applyFont="1" applyAlignment="1">
      <alignment horizontal="center" vertical="center" wrapText="1"/>
    </xf>
    <xf numFmtId="0" fontId="20" fillId="0" borderId="0" xfId="0" applyFont="1" applyAlignment="1">
      <alignment horizontal="left" vertical="center" wrapText="1"/>
    </xf>
    <xf numFmtId="0" fontId="12" fillId="0" borderId="0" xfId="0" applyFont="1" applyAlignment="1">
      <alignment vertical="center"/>
    </xf>
    <xf numFmtId="0" fontId="5" fillId="0" borderId="0" xfId="0" applyFont="1" applyAlignment="1">
      <alignment vertical="center"/>
    </xf>
    <xf numFmtId="0" fontId="15" fillId="0" borderId="0" xfId="0" quotePrefix="1" applyFont="1" applyAlignment="1">
      <alignment horizontal="justify" vertical="center" wrapText="1"/>
    </xf>
    <xf numFmtId="0" fontId="11" fillId="0" borderId="0" xfId="0" quotePrefix="1" applyFont="1" applyAlignment="1">
      <alignment horizontal="justify" vertical="top" wrapText="1"/>
    </xf>
    <xf numFmtId="0" fontId="29" fillId="0" borderId="0" xfId="0" applyFont="1" applyAlignment="1">
      <alignment horizontal="center" vertical="top"/>
    </xf>
    <xf numFmtId="0" fontId="5" fillId="0" borderId="8" xfId="0" applyFont="1" applyBorder="1" applyAlignment="1">
      <alignment vertical="top"/>
    </xf>
    <xf numFmtId="0" fontId="29" fillId="0" borderId="0" xfId="0" applyFont="1" applyAlignment="1">
      <alignment horizontal="left" vertical="center"/>
    </xf>
    <xf numFmtId="0" fontId="24" fillId="0" borderId="0" xfId="0" applyFont="1" applyAlignment="1">
      <alignment horizontal="center" vertical="center" wrapText="1"/>
    </xf>
    <xf numFmtId="167" fontId="24" fillId="0" borderId="0" xfId="1" applyNumberFormat="1" applyFont="1" applyFill="1" applyBorder="1" applyAlignment="1">
      <alignment horizontal="center" vertical="center" wrapText="1"/>
    </xf>
    <xf numFmtId="167" fontId="45" fillId="0" borderId="0" xfId="1" applyNumberFormat="1" applyFont="1" applyFill="1" applyBorder="1" applyAlignment="1">
      <alignment horizontal="center" vertical="center" wrapText="1"/>
    </xf>
    <xf numFmtId="167" fontId="46" fillId="0" borderId="0" xfId="1" applyNumberFormat="1" applyFont="1" applyFill="1" applyBorder="1" applyAlignment="1">
      <alignment horizontal="center" vertical="center" wrapText="1"/>
    </xf>
    <xf numFmtId="0" fontId="8" fillId="0" borderId="0" xfId="0" applyFont="1" applyAlignment="1">
      <alignment horizontal="left" vertical="top" wrapText="1"/>
    </xf>
    <xf numFmtId="0" fontId="11" fillId="12" borderId="0" xfId="0" applyFont="1" applyFill="1" applyAlignment="1">
      <alignment horizontal="center" vertical="top" wrapText="1"/>
    </xf>
    <xf numFmtId="169" fontId="11" fillId="0" borderId="0" xfId="0" applyNumberFormat="1" applyFont="1" applyAlignment="1">
      <alignment horizontal="center" vertical="center" wrapText="1"/>
    </xf>
    <xf numFmtId="0" fontId="11" fillId="0" borderId="0" xfId="0" applyFont="1" applyAlignment="1">
      <alignment horizontal="center" vertical="center" wrapText="1"/>
    </xf>
    <xf numFmtId="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11" fillId="0" borderId="0" xfId="0" applyFont="1" applyAlignment="1">
      <alignment horizontal="left" vertical="top" wrapText="1"/>
    </xf>
    <xf numFmtId="0" fontId="17" fillId="0" borderId="0" xfId="0" applyFont="1" applyAlignment="1">
      <alignment vertical="top"/>
    </xf>
    <xf numFmtId="0" fontId="29" fillId="0" borderId="0" xfId="0" applyFont="1" applyAlignment="1">
      <alignment horizontal="center" vertical="top" wrapText="1"/>
    </xf>
    <xf numFmtId="169" fontId="24" fillId="0" borderId="0" xfId="0" applyNumberFormat="1" applyFont="1" applyAlignment="1">
      <alignment horizontal="center" vertical="center" wrapText="1"/>
    </xf>
    <xf numFmtId="164" fontId="46" fillId="0" borderId="0" xfId="0" applyNumberFormat="1" applyFont="1" applyAlignment="1">
      <alignment horizontal="center" vertical="top" wrapText="1"/>
    </xf>
    <xf numFmtId="0" fontId="4" fillId="0" borderId="0" xfId="0" applyFont="1" applyAlignment="1">
      <alignment vertical="top"/>
    </xf>
    <xf numFmtId="0" fontId="33" fillId="0" borderId="0" xfId="0" applyFont="1" applyAlignment="1">
      <alignment horizontal="left" vertical="top" wrapText="1"/>
    </xf>
    <xf numFmtId="167" fontId="22" fillId="0" borderId="0" xfId="1" applyNumberFormat="1" applyFont="1" applyFill="1" applyBorder="1" applyAlignment="1">
      <alignment horizontal="right" vertical="center" wrapText="1"/>
    </xf>
    <xf numFmtId="168" fontId="43" fillId="0" borderId="0" xfId="1" applyNumberFormat="1" applyFont="1" applyFill="1" applyBorder="1" applyAlignment="1">
      <alignment horizontal="center" vertical="center" wrapText="1"/>
    </xf>
    <xf numFmtId="167" fontId="18" fillId="9" borderId="0" xfId="1" applyNumberFormat="1" applyFont="1" applyFill="1" applyBorder="1" applyAlignment="1">
      <alignment horizontal="center" vertical="center" wrapText="1"/>
    </xf>
    <xf numFmtId="169" fontId="32" fillId="0" borderId="0" xfId="0" applyNumberFormat="1" applyFont="1" applyAlignment="1">
      <alignment horizontal="left" vertical="top" wrapText="1"/>
    </xf>
    <xf numFmtId="0" fontId="25" fillId="0" borderId="0" xfId="0" applyFont="1" applyAlignment="1">
      <alignment horizontal="left" vertical="top" wrapText="1"/>
    </xf>
    <xf numFmtId="167" fontId="18" fillId="9" borderId="0" xfId="1" applyNumberFormat="1" applyFont="1" applyFill="1" applyBorder="1" applyAlignment="1">
      <alignment vertical="center" wrapText="1"/>
    </xf>
    <xf numFmtId="0" fontId="21" fillId="0" borderId="0" xfId="0" applyFont="1" applyAlignment="1">
      <alignment vertical="top" wrapText="1"/>
    </xf>
    <xf numFmtId="0" fontId="16" fillId="0" borderId="0" xfId="0" applyFont="1" applyAlignment="1">
      <alignment horizontal="justify" vertical="top" wrapText="1"/>
    </xf>
    <xf numFmtId="0" fontId="15" fillId="0" borderId="0" xfId="0" applyFont="1" applyAlignment="1">
      <alignment horizontal="justify" vertical="top" wrapText="1"/>
    </xf>
    <xf numFmtId="0" fontId="11" fillId="0" borderId="0" xfId="0" applyFont="1" applyAlignment="1">
      <alignment horizontal="left" vertical="top"/>
    </xf>
    <xf numFmtId="0" fontId="20" fillId="0" borderId="0" xfId="0" applyFont="1" applyAlignment="1">
      <alignment horizontal="left" vertical="top" wrapText="1"/>
    </xf>
    <xf numFmtId="0" fontId="47" fillId="0" borderId="0" xfId="0" applyFont="1" applyAlignment="1">
      <alignment horizontal="left" vertical="top" wrapText="1"/>
    </xf>
    <xf numFmtId="0" fontId="11" fillId="0" borderId="0" xfId="0" quotePrefix="1" applyFont="1" applyAlignment="1">
      <alignment horizontal="left" vertical="top"/>
    </xf>
    <xf numFmtId="0" fontId="20" fillId="0" borderId="0" xfId="0" applyFont="1" applyAlignment="1">
      <alignment horizontal="center" vertical="top" wrapText="1"/>
    </xf>
    <xf numFmtId="0" fontId="11" fillId="12" borderId="0" xfId="0" applyFont="1" applyFill="1" applyAlignment="1">
      <alignment horizontal="center" vertical="center" wrapText="1"/>
    </xf>
    <xf numFmtId="164" fontId="11" fillId="0" borderId="0" xfId="0" applyNumberFormat="1" applyFont="1" applyAlignment="1">
      <alignment horizontal="center" vertical="center" wrapText="1"/>
    </xf>
    <xf numFmtId="1" fontId="8" fillId="0" borderId="0" xfId="0" applyNumberFormat="1" applyFont="1" applyAlignment="1">
      <alignment horizontal="center" vertical="center" wrapText="1"/>
    </xf>
    <xf numFmtId="0" fontId="8" fillId="12" borderId="0" xfId="0" applyFont="1" applyFill="1" applyAlignment="1">
      <alignment horizontal="center" vertical="center" wrapText="1"/>
    </xf>
    <xf numFmtId="0" fontId="16" fillId="12" borderId="0" xfId="0" applyFont="1" applyFill="1" applyAlignment="1">
      <alignment horizontal="center" vertical="center" wrapText="1"/>
    </xf>
    <xf numFmtId="0" fontId="48" fillId="0" borderId="0" xfId="0" applyFont="1" applyAlignment="1">
      <alignment horizontal="justify" vertical="top" wrapText="1"/>
    </xf>
    <xf numFmtId="0" fontId="11" fillId="12" borderId="0" xfId="0" applyFont="1" applyFill="1" applyAlignment="1">
      <alignment horizontal="left" vertical="center" wrapText="1"/>
    </xf>
    <xf numFmtId="0" fontId="11" fillId="0" borderId="0" xfId="0" applyFont="1" applyAlignment="1">
      <alignment horizontal="left" vertical="center" wrapText="1"/>
    </xf>
    <xf numFmtId="0" fontId="21" fillId="0" borderId="5" xfId="0" applyFont="1" applyBorder="1" applyAlignment="1">
      <alignment vertical="top" wrapText="1"/>
    </xf>
    <xf numFmtId="164" fontId="11" fillId="0" borderId="0" xfId="0" applyNumberFormat="1" applyFont="1" applyAlignment="1">
      <alignment horizontal="center" vertical="top" wrapText="1"/>
    </xf>
    <xf numFmtId="164" fontId="8" fillId="0" borderId="0" xfId="0" applyNumberFormat="1" applyFont="1" applyAlignment="1">
      <alignment horizontal="center" vertical="top" wrapText="1"/>
    </xf>
    <xf numFmtId="0" fontId="15" fillId="0" borderId="0" xfId="0" applyFont="1" applyAlignment="1">
      <alignment vertical="top" wrapText="1"/>
    </xf>
    <xf numFmtId="0" fontId="29" fillId="0" borderId="0" xfId="0" applyFont="1" applyAlignment="1">
      <alignment horizontal="center" vertical="center" wrapText="1"/>
    </xf>
    <xf numFmtId="164" fontId="47" fillId="0" borderId="0" xfId="0" applyNumberFormat="1" applyFont="1" applyAlignment="1">
      <alignment horizontal="center" vertical="top" wrapText="1"/>
    </xf>
    <xf numFmtId="0" fontId="10" fillId="0" borderId="0" xfId="0" applyFont="1" applyAlignment="1">
      <alignment horizontal="center" vertical="top" wrapText="1"/>
    </xf>
    <xf numFmtId="0" fontId="42" fillId="0" borderId="0" xfId="0" quotePrefix="1" applyFont="1" applyAlignment="1">
      <alignment vertical="top"/>
    </xf>
    <xf numFmtId="0" fontId="49" fillId="0" borderId="0" xfId="0" applyFont="1" applyAlignment="1">
      <alignment horizontal="center" vertical="top" wrapText="1"/>
    </xf>
    <xf numFmtId="0" fontId="47" fillId="0" borderId="0" xfId="0" quotePrefix="1" applyFont="1" applyAlignment="1">
      <alignment vertical="top"/>
    </xf>
    <xf numFmtId="0" fontId="29" fillId="0" borderId="15" xfId="0" applyFont="1" applyBorder="1" applyAlignment="1">
      <alignment vertical="center" wrapText="1"/>
    </xf>
    <xf numFmtId="0" fontId="20" fillId="0" borderId="15" xfId="0" applyFont="1" applyBorder="1" applyAlignment="1">
      <alignment vertical="top" wrapText="1"/>
    </xf>
    <xf numFmtId="0" fontId="50" fillId="0" borderId="0" xfId="0" quotePrefix="1" applyFont="1" applyAlignment="1">
      <alignment vertical="top"/>
    </xf>
    <xf numFmtId="0" fontId="49" fillId="0" borderId="0" xfId="0" applyFont="1" applyAlignment="1">
      <alignment horizontal="left" vertical="top" wrapText="1"/>
    </xf>
    <xf numFmtId="0" fontId="42" fillId="0" borderId="0" xfId="0" applyFont="1" applyAlignment="1">
      <alignment vertical="top"/>
    </xf>
    <xf numFmtId="0" fontId="20" fillId="0" borderId="0" xfId="0" applyFont="1" applyAlignment="1">
      <alignment vertical="center" wrapText="1"/>
    </xf>
    <xf numFmtId="164" fontId="20" fillId="0" borderId="0" xfId="0" applyNumberFormat="1" applyFont="1" applyAlignment="1">
      <alignment vertical="center" wrapText="1"/>
    </xf>
    <xf numFmtId="164" fontId="20" fillId="0" borderId="0" xfId="0" applyNumberFormat="1" applyFont="1" applyAlignment="1">
      <alignment horizontal="center" vertical="center" wrapText="1"/>
    </xf>
    <xf numFmtId="164" fontId="29" fillId="0" borderId="0" xfId="0" applyNumberFormat="1" applyFont="1" applyAlignment="1">
      <alignment vertical="center" wrapText="1"/>
    </xf>
    <xf numFmtId="0" fontId="20" fillId="0" borderId="0" xfId="0" applyFont="1" applyAlignment="1">
      <alignment horizontal="center" vertical="center"/>
    </xf>
    <xf numFmtId="0" fontId="15" fillId="3" borderId="1" xfId="0" applyFont="1" applyFill="1" applyBorder="1" applyAlignment="1">
      <alignment horizontal="center" vertical="center"/>
    </xf>
    <xf numFmtId="0" fontId="11" fillId="0" borderId="1" xfId="0" applyFont="1" applyBorder="1" applyAlignment="1">
      <alignment horizontal="center" vertical="top" wrapText="1"/>
    </xf>
    <xf numFmtId="0" fontId="10" fillId="0" borderId="0" xfId="0" applyFont="1" applyAlignment="1">
      <alignment horizontal="left" vertical="top" wrapText="1"/>
    </xf>
    <xf numFmtId="0" fontId="10" fillId="0" borderId="0" xfId="0" applyFont="1" applyAlignment="1">
      <alignment horizontal="justify" vertical="top" wrapText="1"/>
    </xf>
    <xf numFmtId="0" fontId="42" fillId="0" borderId="0" xfId="0" quotePrefix="1" applyFont="1" applyAlignment="1">
      <alignment horizontal="justify" vertical="top" wrapText="1"/>
    </xf>
    <xf numFmtId="0" fontId="9" fillId="0" borderId="15" xfId="0" applyFont="1" applyBorder="1" applyAlignment="1">
      <alignment horizontal="left" vertical="top" wrapText="1"/>
    </xf>
    <xf numFmtId="0" fontId="7" fillId="0" borderId="0" xfId="0" applyFont="1" applyAlignment="1">
      <alignment horizontal="left" vertical="top" wrapText="1"/>
    </xf>
    <xf numFmtId="0" fontId="7" fillId="0" borderId="0" xfId="0" quotePrefix="1" applyFont="1" applyAlignment="1">
      <alignment horizontal="left" vertical="top" wrapText="1"/>
    </xf>
    <xf numFmtId="0" fontId="15" fillId="0" borderId="0" xfId="0" applyFont="1" applyAlignment="1">
      <alignment horizontal="center" vertical="top"/>
    </xf>
    <xf numFmtId="0" fontId="53" fillId="13" borderId="1" xfId="0" applyFont="1" applyFill="1" applyBorder="1" applyAlignment="1">
      <alignment horizontal="center" vertical="center"/>
    </xf>
    <xf numFmtId="0" fontId="24" fillId="0" borderId="0" xfId="0" applyFont="1" applyAlignment="1">
      <alignment horizontal="center" vertical="center"/>
    </xf>
    <xf numFmtId="170" fontId="24" fillId="0" borderId="0" xfId="2" applyNumberFormat="1" applyFont="1" applyFill="1" applyBorder="1" applyAlignment="1">
      <alignment horizontal="center" vertical="center" wrapText="1"/>
    </xf>
    <xf numFmtId="170" fontId="15" fillId="0" borderId="0" xfId="2" applyNumberFormat="1" applyFont="1" applyFill="1" applyBorder="1" applyAlignment="1">
      <alignment horizontal="center" vertical="center" wrapText="1"/>
    </xf>
    <xf numFmtId="0" fontId="11" fillId="0" borderId="5" xfId="0" applyFont="1" applyBorder="1" applyAlignment="1">
      <alignment vertical="top" wrapText="1"/>
    </xf>
    <xf numFmtId="0" fontId="34" fillId="13" borderId="1" xfId="0" applyFont="1" applyFill="1" applyBorder="1" applyAlignment="1">
      <alignment horizontal="center" vertical="center"/>
    </xf>
    <xf numFmtId="0" fontId="53" fillId="0" borderId="0" xfId="0" applyFont="1" applyAlignment="1">
      <alignment horizontal="center"/>
    </xf>
    <xf numFmtId="0" fontId="22" fillId="0" borderId="0" xfId="0" applyFont="1" applyAlignment="1">
      <alignment horizontal="left" vertical="center"/>
    </xf>
    <xf numFmtId="170" fontId="22" fillId="0" borderId="0" xfId="2" applyNumberFormat="1" applyFont="1" applyFill="1" applyBorder="1" applyAlignment="1">
      <alignment horizontal="center" vertical="center" wrapText="1"/>
    </xf>
    <xf numFmtId="0" fontId="15" fillId="0" borderId="0" xfId="0" applyFont="1" applyAlignment="1">
      <alignment horizontal="center" vertical="center"/>
    </xf>
    <xf numFmtId="0" fontId="53" fillId="7" borderId="1" xfId="0" applyFont="1" applyFill="1" applyBorder="1" applyAlignment="1">
      <alignment horizontal="center"/>
    </xf>
    <xf numFmtId="0" fontId="22" fillId="0" borderId="0" xfId="0" applyFont="1" applyAlignment="1">
      <alignment horizontal="left" vertical="top"/>
    </xf>
    <xf numFmtId="0" fontId="11" fillId="0" borderId="0" xfId="0" quotePrefix="1" applyFont="1" applyAlignment="1">
      <alignment vertical="top" wrapText="1"/>
    </xf>
    <xf numFmtId="0" fontId="15" fillId="0" borderId="0" xfId="0" quotePrefix="1" applyFont="1" applyAlignment="1">
      <alignment horizontal="center" vertical="top"/>
    </xf>
    <xf numFmtId="0" fontId="56" fillId="0" borderId="0" xfId="0" applyFont="1" applyAlignment="1">
      <alignment horizontal="center" vertical="center" wrapText="1" readingOrder="1"/>
    </xf>
    <xf numFmtId="0" fontId="9" fillId="0" borderId="15" xfId="0" applyFont="1" applyBorder="1" applyAlignment="1">
      <alignment vertical="top" wrapText="1"/>
    </xf>
    <xf numFmtId="0" fontId="29" fillId="0" borderId="4" xfId="0" applyFont="1" applyBorder="1" applyAlignment="1">
      <alignment horizontal="center" vertical="top" wrapText="1"/>
    </xf>
    <xf numFmtId="169" fontId="24" fillId="0" borderId="4" xfId="0" applyNumberFormat="1" applyFont="1" applyBorder="1" applyAlignment="1">
      <alignment horizontal="center" vertical="center" wrapText="1"/>
    </xf>
    <xf numFmtId="0" fontId="59" fillId="0" borderId="4" xfId="0" applyFont="1" applyBorder="1" applyAlignment="1">
      <alignment horizontal="center" vertical="center" wrapText="1"/>
    </xf>
    <xf numFmtId="0" fontId="11" fillId="0" borderId="0" xfId="0" applyFont="1" applyAlignment="1">
      <alignment horizontal="justify" wrapText="1"/>
    </xf>
    <xf numFmtId="167" fontId="11" fillId="0" borderId="0" xfId="1" applyNumberFormat="1" applyFont="1" applyBorder="1" applyAlignment="1">
      <alignment horizontal="center" wrapText="1"/>
    </xf>
    <xf numFmtId="0" fontId="11" fillId="7" borderId="7" xfId="0" applyFont="1" applyFill="1" applyBorder="1" applyAlignment="1">
      <alignment vertical="top"/>
    </xf>
    <xf numFmtId="0" fontId="11" fillId="7" borderId="6" xfId="0" applyFont="1" applyFill="1" applyBorder="1" applyAlignment="1">
      <alignment vertical="top"/>
    </xf>
    <xf numFmtId="0" fontId="61" fillId="7" borderId="1" xfId="0" applyFont="1" applyFill="1" applyBorder="1" applyAlignment="1">
      <alignment horizontal="center"/>
    </xf>
    <xf numFmtId="0" fontId="63" fillId="7" borderId="1" xfId="0" applyFont="1" applyFill="1" applyBorder="1" applyAlignment="1">
      <alignment horizontal="center" vertical="center"/>
    </xf>
    <xf numFmtId="0" fontId="7" fillId="0" borderId="0" xfId="0" applyFont="1" applyAlignment="1">
      <alignment vertical="center"/>
    </xf>
    <xf numFmtId="167" fontId="29" fillId="0" borderId="0" xfId="1" applyNumberFormat="1" applyFont="1" applyFill="1" applyBorder="1" applyAlignment="1">
      <alignment horizontal="center" vertical="center" wrapText="1"/>
    </xf>
    <xf numFmtId="0" fontId="64" fillId="0" borderId="0" xfId="0" applyFont="1" applyAlignment="1">
      <alignment horizontal="center" vertical="top" wrapText="1"/>
    </xf>
    <xf numFmtId="0" fontId="9" fillId="0" borderId="1" xfId="0" applyFont="1" applyBorder="1" applyAlignment="1">
      <alignment horizontal="left" vertical="center" wrapText="1"/>
    </xf>
    <xf numFmtId="0" fontId="9" fillId="7" borderId="1" xfId="0" applyFont="1" applyFill="1" applyBorder="1" applyAlignment="1">
      <alignment horizontal="center" vertical="center" wrapText="1"/>
    </xf>
    <xf numFmtId="0" fontId="8" fillId="8" borderId="4" xfId="0" applyFont="1" applyFill="1" applyBorder="1" applyAlignment="1">
      <alignment vertical="top" wrapText="1"/>
    </xf>
    <xf numFmtId="0" fontId="15" fillId="3" borderId="7" xfId="0" applyFont="1" applyFill="1" applyBorder="1" applyAlignment="1">
      <alignment vertical="top" wrapText="1"/>
    </xf>
    <xf numFmtId="0" fontId="20" fillId="0" borderId="7" xfId="0" applyFont="1" applyBorder="1" applyAlignment="1">
      <alignment horizontal="center" vertical="center" wrapText="1"/>
    </xf>
    <xf numFmtId="164" fontId="34" fillId="0" borderId="13" xfId="0" applyNumberFormat="1" applyFont="1" applyBorder="1" applyAlignment="1">
      <alignment vertical="center" wrapText="1"/>
    </xf>
    <xf numFmtId="164" fontId="34" fillId="0" borderId="0" xfId="0" applyNumberFormat="1" applyFont="1" applyAlignment="1">
      <alignment vertical="center" wrapText="1"/>
    </xf>
    <xf numFmtId="164" fontId="34" fillId="0" borderId="15" xfId="0" applyNumberFormat="1" applyFont="1" applyBorder="1" applyAlignment="1">
      <alignment vertical="center" wrapText="1"/>
    </xf>
    <xf numFmtId="0" fontId="15" fillId="0" borderId="4" xfId="0" applyFont="1" applyBorder="1" applyAlignment="1">
      <alignment horizontal="center" vertical="center" wrapText="1"/>
    </xf>
    <xf numFmtId="167" fontId="36" fillId="0" borderId="4" xfId="1" applyNumberFormat="1" applyFont="1" applyFill="1" applyBorder="1" applyAlignment="1">
      <alignment horizontal="center" vertical="center" wrapText="1"/>
    </xf>
    <xf numFmtId="0" fontId="11" fillId="0" borderId="4" xfId="0" applyFont="1" applyBorder="1" applyAlignment="1">
      <alignment horizontal="justify" vertical="top" wrapText="1"/>
    </xf>
    <xf numFmtId="0" fontId="9" fillId="0" borderId="1" xfId="0" applyFont="1" applyBorder="1" applyAlignment="1">
      <alignment horizontal="center" vertical="top" wrapText="1"/>
    </xf>
    <xf numFmtId="0" fontId="9" fillId="0" borderId="0" xfId="0" quotePrefix="1" applyFont="1" applyAlignment="1">
      <alignment horizontal="center" vertical="top" wrapText="1"/>
    </xf>
    <xf numFmtId="0" fontId="8" fillId="0" borderId="0" xfId="0" quotePrefix="1" applyFont="1" applyAlignment="1">
      <alignment horizontal="right" vertical="top" wrapText="1"/>
    </xf>
    <xf numFmtId="164" fontId="34" fillId="0" borderId="0" xfId="0" applyNumberFormat="1" applyFont="1" applyAlignment="1">
      <alignment horizontal="center" vertical="center" wrapText="1"/>
    </xf>
    <xf numFmtId="170" fontId="34" fillId="0" borderId="0" xfId="0" applyNumberFormat="1" applyFont="1" applyAlignment="1">
      <alignment horizontal="center" vertical="center" wrapText="1"/>
    </xf>
    <xf numFmtId="169" fontId="60" fillId="0" borderId="0" xfId="0" applyNumberFormat="1" applyFont="1" applyAlignment="1">
      <alignment horizontal="center" vertical="center" wrapText="1"/>
    </xf>
    <xf numFmtId="169" fontId="65" fillId="0" borderId="0" xfId="0" applyNumberFormat="1" applyFont="1" applyAlignment="1">
      <alignment horizontal="center" vertical="center" wrapText="1"/>
    </xf>
    <xf numFmtId="164" fontId="11" fillId="0" borderId="0" xfId="0" quotePrefix="1" applyNumberFormat="1" applyFont="1" applyAlignment="1">
      <alignment horizontal="center" vertical="center" wrapText="1"/>
    </xf>
    <xf numFmtId="164" fontId="8" fillId="0" borderId="0" xfId="0" applyNumberFormat="1" applyFont="1" applyAlignment="1">
      <alignment horizontal="center" vertical="center" wrapText="1"/>
    </xf>
    <xf numFmtId="0" fontId="9" fillId="0" borderId="8" xfId="0" applyFont="1" applyBorder="1" applyAlignment="1">
      <alignment horizontal="center" vertical="top" wrapText="1"/>
    </xf>
    <xf numFmtId="0" fontId="16" fillId="0" borderId="0" xfId="0" applyFont="1" applyAlignment="1">
      <alignment vertical="top"/>
    </xf>
    <xf numFmtId="0" fontId="0" fillId="0" borderId="0" xfId="0"/>
    <xf numFmtId="164" fontId="8" fillId="0" borderId="0" xfId="0" applyNumberFormat="1" applyFont="1" applyAlignment="1">
      <alignment vertical="top" wrapText="1"/>
    </xf>
    <xf numFmtId="0" fontId="8" fillId="0" borderId="0" xfId="0" applyFont="1" applyAlignment="1">
      <alignment horizontal="right" vertical="top" wrapText="1"/>
    </xf>
    <xf numFmtId="0" fontId="9" fillId="0" borderId="1" xfId="0" applyFont="1" applyBorder="1" applyAlignment="1">
      <alignment horizontal="center" vertical="center" wrapText="1"/>
    </xf>
    <xf numFmtId="0" fontId="11" fillId="0" borderId="5" xfId="0" applyFont="1" applyBorder="1" applyAlignment="1">
      <alignment horizontal="justify" wrapText="1"/>
    </xf>
    <xf numFmtId="0" fontId="64" fillId="0" borderId="0" xfId="0" applyFont="1" applyAlignment="1">
      <alignment horizontal="center" vertical="top"/>
    </xf>
    <xf numFmtId="0" fontId="30" fillId="0" borderId="1" xfId="0" applyFont="1" applyBorder="1" applyAlignment="1">
      <alignment horizontal="center" vertical="top" wrapText="1"/>
    </xf>
    <xf numFmtId="0" fontId="16" fillId="0" borderId="0" xfId="0" applyFont="1" applyAlignment="1">
      <alignment vertical="top" wrapText="1"/>
    </xf>
    <xf numFmtId="0" fontId="16" fillId="0" borderId="0" xfId="0" applyFont="1" applyAlignment="1">
      <alignment horizontal="left" vertical="top" wrapText="1"/>
    </xf>
    <xf numFmtId="0" fontId="30" fillId="0" borderId="1" xfId="0" applyFont="1" applyBorder="1" applyAlignment="1">
      <alignment horizontal="center" vertical="center" wrapText="1"/>
    </xf>
    <xf numFmtId="0" fontId="15" fillId="3" borderId="7" xfId="0" applyFont="1" applyFill="1" applyBorder="1" applyAlignment="1">
      <alignment horizontal="center" vertical="center" wrapText="1"/>
    </xf>
    <xf numFmtId="0" fontId="11" fillId="0" borderId="7" xfId="0" applyFont="1" applyBorder="1" applyAlignment="1">
      <alignment horizontal="center" vertical="center" wrapText="1"/>
    </xf>
    <xf numFmtId="0" fontId="11" fillId="3" borderId="0" xfId="0" applyFont="1" applyFill="1" applyAlignment="1">
      <alignment vertical="top"/>
    </xf>
    <xf numFmtId="0" fontId="64" fillId="0" borderId="0" xfId="0" applyFont="1" applyAlignment="1">
      <alignment vertical="top"/>
    </xf>
    <xf numFmtId="0" fontId="11" fillId="0" borderId="5" xfId="0" applyFont="1" applyBorder="1" applyAlignment="1">
      <alignment horizontal="justify" vertical="top" wrapText="1"/>
    </xf>
    <xf numFmtId="167" fontId="31" fillId="0" borderId="4" xfId="1" applyNumberFormat="1" applyFont="1" applyFill="1" applyBorder="1" applyAlignment="1">
      <alignment horizontal="center" vertical="center" wrapText="1"/>
    </xf>
    <xf numFmtId="167" fontId="34" fillId="0" borderId="4" xfId="1" applyNumberFormat="1" applyFont="1" applyFill="1" applyBorder="1" applyAlignment="1">
      <alignment horizontal="center" vertical="center" wrapText="1"/>
    </xf>
    <xf numFmtId="167" fontId="34" fillId="0" borderId="0" xfId="1" applyNumberFormat="1" applyFont="1" applyFill="1" applyBorder="1" applyAlignment="1">
      <alignment horizontal="center" vertical="center" wrapText="1"/>
    </xf>
    <xf numFmtId="171" fontId="34" fillId="0" borderId="4" xfId="1" applyNumberFormat="1" applyFont="1" applyFill="1" applyBorder="1" applyAlignment="1">
      <alignment horizontal="center" vertical="center" wrapText="1"/>
    </xf>
    <xf numFmtId="167" fontId="31" fillId="0" borderId="0" xfId="1" applyNumberFormat="1" applyFont="1" applyFill="1" applyBorder="1" applyAlignment="1">
      <alignment horizontal="center" vertical="center" wrapText="1"/>
    </xf>
    <xf numFmtId="0" fontId="15" fillId="3" borderId="1" xfId="0" applyFont="1" applyFill="1" applyBorder="1" applyAlignment="1">
      <alignment horizontal="justify" vertical="center" wrapText="1"/>
    </xf>
    <xf numFmtId="0" fontId="21" fillId="0" borderId="1" xfId="0" applyFont="1" applyBorder="1" applyAlignment="1">
      <alignment horizontal="center" vertical="top" wrapText="1"/>
    </xf>
    <xf numFmtId="0" fontId="7" fillId="0" borderId="0" xfId="0" applyFont="1" applyAlignment="1">
      <alignment horizontal="center" vertical="top" wrapText="1"/>
    </xf>
    <xf numFmtId="0" fontId="8" fillId="0" borderId="4" xfId="0" applyFont="1" applyBorder="1" applyAlignment="1">
      <alignment vertical="top" wrapText="1"/>
    </xf>
    <xf numFmtId="0" fontId="8" fillId="0" borderId="0" xfId="0" quotePrefix="1" applyFont="1" applyAlignment="1">
      <alignment vertical="center" wrapText="1"/>
    </xf>
    <xf numFmtId="0" fontId="8" fillId="0" borderId="0" xfId="0" applyFont="1" applyAlignment="1">
      <alignment horizontal="left" vertical="center" wrapText="1"/>
    </xf>
    <xf numFmtId="0" fontId="21" fillId="0" borderId="7" xfId="0" applyFont="1" applyBorder="1" applyAlignment="1">
      <alignment horizontal="center" vertical="center" wrapText="1"/>
    </xf>
    <xf numFmtId="165" fontId="15" fillId="0" borderId="0" xfId="0" applyNumberFormat="1" applyFont="1" applyAlignment="1">
      <alignment horizontal="center" vertical="center" wrapText="1"/>
    </xf>
    <xf numFmtId="0" fontId="75" fillId="0" borderId="0" xfId="0" applyFont="1" applyAlignment="1">
      <alignment vertical="top"/>
    </xf>
    <xf numFmtId="0" fontId="19" fillId="0" borderId="1" xfId="0" applyFont="1" applyBorder="1" applyAlignment="1">
      <alignment horizontal="left" vertical="top" wrapText="1"/>
    </xf>
    <xf numFmtId="0" fontId="76" fillId="0" borderId="1" xfId="0" applyFont="1" applyBorder="1" applyAlignment="1">
      <alignment horizontal="center" vertical="top" wrapText="1"/>
    </xf>
    <xf numFmtId="0" fontId="80" fillId="3" borderId="1" xfId="0" applyFont="1" applyFill="1" applyBorder="1" applyAlignment="1">
      <alignment horizontal="center" vertical="top" wrapText="1"/>
    </xf>
    <xf numFmtId="0" fontId="80" fillId="0" borderId="0" xfId="0" applyFont="1" applyAlignment="1">
      <alignment horizontal="center" vertical="top" wrapText="1"/>
    </xf>
    <xf numFmtId="0" fontId="81" fillId="0" borderId="0" xfId="0" applyFont="1" applyAlignment="1">
      <alignment vertical="top"/>
    </xf>
    <xf numFmtId="0" fontId="80" fillId="3" borderId="1" xfId="0" applyFont="1" applyFill="1" applyBorder="1" applyAlignment="1">
      <alignment horizontal="center" vertical="center" wrapText="1"/>
    </xf>
    <xf numFmtId="0" fontId="82" fillId="0" borderId="0" xfId="0" applyFont="1" applyAlignment="1">
      <alignment vertical="top"/>
    </xf>
    <xf numFmtId="164" fontId="11" fillId="0" borderId="0" xfId="0" applyNumberFormat="1" applyFont="1" applyAlignment="1">
      <alignment vertical="top" wrapText="1"/>
    </xf>
    <xf numFmtId="0" fontId="46" fillId="7" borderId="7" xfId="0" applyFont="1" applyFill="1" applyBorder="1" applyAlignment="1">
      <alignment horizontal="center" vertical="center"/>
    </xf>
    <xf numFmtId="0" fontId="46" fillId="0" borderId="7" xfId="0" applyFont="1" applyBorder="1" applyAlignment="1">
      <alignment horizontal="center" vertical="center"/>
    </xf>
    <xf numFmtId="0" fontId="46" fillId="0" borderId="6" xfId="0" applyFont="1" applyBorder="1" applyAlignment="1">
      <alignment vertical="center"/>
    </xf>
    <xf numFmtId="0" fontId="4" fillId="0" borderId="6" xfId="0" applyFont="1" applyBorder="1" applyAlignment="1">
      <alignment vertical="center"/>
    </xf>
    <xf numFmtId="0" fontId="15" fillId="0" borderId="6" xfId="0" applyFont="1" applyBorder="1" applyAlignment="1">
      <alignment horizontal="justify" vertical="center" wrapText="1"/>
    </xf>
    <xf numFmtId="0" fontId="4" fillId="0" borderId="8" xfId="0" applyFont="1" applyBorder="1" applyAlignment="1">
      <alignment vertical="center"/>
    </xf>
    <xf numFmtId="0" fontId="83" fillId="0" borderId="6" xfId="0" applyFont="1" applyBorder="1" applyAlignment="1">
      <alignment vertical="center"/>
    </xf>
    <xf numFmtId="0" fontId="84" fillId="0" borderId="6" xfId="0" applyFont="1" applyBorder="1" applyAlignment="1">
      <alignment vertical="center"/>
    </xf>
    <xf numFmtId="0" fontId="21" fillId="0" borderId="6" xfId="0" applyFont="1" applyBorder="1" applyAlignment="1">
      <alignment horizontal="justify" vertical="center" wrapText="1"/>
    </xf>
    <xf numFmtId="0" fontId="84" fillId="0" borderId="8" xfId="0" applyFont="1" applyBorder="1" applyAlignment="1">
      <alignment vertical="center"/>
    </xf>
    <xf numFmtId="0" fontId="5" fillId="0" borderId="6" xfId="0" applyFont="1" applyBorder="1" applyAlignment="1">
      <alignment vertical="center"/>
    </xf>
    <xf numFmtId="0" fontId="11" fillId="0" borderId="6" xfId="0" applyFont="1" applyBorder="1" applyAlignment="1">
      <alignment horizontal="justify" vertical="center" wrapText="1"/>
    </xf>
    <xf numFmtId="0" fontId="5" fillId="0" borderId="8" xfId="0" applyFont="1" applyBorder="1" applyAlignment="1">
      <alignment vertical="center"/>
    </xf>
    <xf numFmtId="0" fontId="85" fillId="0" borderId="7" xfId="0" applyFont="1" applyBorder="1" applyAlignment="1">
      <alignment horizontal="center" vertical="center"/>
    </xf>
    <xf numFmtId="0" fontId="85" fillId="0" borderId="6"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46" fillId="0" borderId="6" xfId="0" applyFont="1" applyBorder="1" applyAlignment="1">
      <alignment horizontal="center" vertical="center"/>
    </xf>
    <xf numFmtId="0" fontId="46" fillId="0" borderId="1" xfId="0" applyFont="1" applyBorder="1" applyAlignment="1">
      <alignment horizontal="center" vertical="center"/>
    </xf>
    <xf numFmtId="0" fontId="46" fillId="0" borderId="6" xfId="0" applyFont="1" applyBorder="1"/>
    <xf numFmtId="0" fontId="83" fillId="0" borderId="6" xfId="0" applyFont="1" applyBorder="1"/>
    <xf numFmtId="0" fontId="85" fillId="0" borderId="1" xfId="0" applyFont="1" applyBorder="1" applyAlignment="1">
      <alignment horizontal="center" vertical="center"/>
    </xf>
    <xf numFmtId="0" fontId="5" fillId="0" borderId="1" xfId="0" applyFont="1" applyBorder="1" applyAlignment="1">
      <alignment horizontal="center" vertical="center"/>
    </xf>
    <xf numFmtId="0" fontId="45" fillId="0" borderId="6" xfId="0" applyFont="1" applyBorder="1"/>
    <xf numFmtId="0" fontId="88" fillId="0" borderId="7" xfId="0" applyFont="1" applyBorder="1" applyAlignment="1">
      <alignment vertical="center"/>
    </xf>
    <xf numFmtId="0" fontId="11" fillId="0" borderId="6" xfId="0" applyFont="1" applyBorder="1" applyAlignment="1">
      <alignment vertical="top" wrapText="1"/>
    </xf>
    <xf numFmtId="0" fontId="88" fillId="0" borderId="6" xfId="0" applyFont="1" applyBorder="1" applyAlignment="1">
      <alignment vertical="center"/>
    </xf>
    <xf numFmtId="0" fontId="15" fillId="7" borderId="0" xfId="0" applyFont="1" applyFill="1" applyAlignment="1">
      <alignment horizontal="center" vertical="top" wrapText="1"/>
    </xf>
    <xf numFmtId="167" fontId="15" fillId="7" borderId="0" xfId="1" applyNumberFormat="1" applyFont="1" applyFill="1" applyBorder="1" applyAlignment="1">
      <alignment horizontal="center" vertical="center" wrapText="1"/>
    </xf>
    <xf numFmtId="0" fontId="46" fillId="0" borderId="8" xfId="0" applyFont="1" applyBorder="1"/>
    <xf numFmtId="0" fontId="85" fillId="0" borderId="6" xfId="0" applyFont="1" applyBorder="1" applyAlignment="1">
      <alignment horizontal="center"/>
    </xf>
    <xf numFmtId="0" fontId="83" fillId="0" borderId="8" xfId="0" applyFont="1" applyBorder="1"/>
    <xf numFmtId="0" fontId="46" fillId="0" borderId="5" xfId="0" applyFont="1" applyBorder="1"/>
    <xf numFmtId="0" fontId="46" fillId="0" borderId="10" xfId="0" applyFont="1" applyBorder="1"/>
    <xf numFmtId="0" fontId="5" fillId="0" borderId="0" xfId="0" applyFont="1" applyAlignment="1">
      <alignment horizontal="center" vertical="center"/>
    </xf>
    <xf numFmtId="0" fontId="46" fillId="0" borderId="6" xfId="0" applyFont="1" applyBorder="1" applyAlignment="1">
      <alignment horizontal="center"/>
    </xf>
    <xf numFmtId="0" fontId="85" fillId="0" borderId="0" xfId="0" applyFont="1" applyAlignment="1">
      <alignment horizontal="center" vertical="center"/>
    </xf>
    <xf numFmtId="164" fontId="15" fillId="0" borderId="0" xfId="0" applyNumberFormat="1" applyFont="1" applyAlignment="1">
      <alignment horizontal="center" vertical="center" wrapText="1"/>
    </xf>
    <xf numFmtId="0" fontId="12" fillId="0" borderId="0" xfId="0" applyFont="1" applyAlignment="1">
      <alignment horizontal="center" vertical="top" wrapText="1"/>
    </xf>
    <xf numFmtId="0" fontId="84" fillId="0" borderId="7" xfId="0" applyFont="1" applyBorder="1" applyAlignment="1">
      <alignment vertical="center"/>
    </xf>
    <xf numFmtId="0" fontId="5" fillId="0" borderId="6" xfId="0" applyFont="1" applyBorder="1"/>
    <xf numFmtId="0" fontId="22" fillId="0" borderId="0" xfId="0" applyFont="1" applyAlignment="1">
      <alignment horizontal="justify" vertical="center" wrapText="1"/>
    </xf>
    <xf numFmtId="0" fontId="21" fillId="0" borderId="0" xfId="0" applyFont="1" applyAlignment="1">
      <alignment vertical="top"/>
    </xf>
    <xf numFmtId="0" fontId="46" fillId="0" borderId="7" xfId="0" applyFont="1" applyBorder="1" applyAlignment="1">
      <alignment vertical="center"/>
    </xf>
    <xf numFmtId="0" fontId="46" fillId="0" borderId="0" xfId="0" applyFont="1"/>
    <xf numFmtId="0" fontId="83" fillId="0" borderId="7" xfId="0" applyFont="1" applyBorder="1" applyAlignment="1">
      <alignment horizontal="left" vertical="center"/>
    </xf>
    <xf numFmtId="0" fontId="83" fillId="0" borderId="6" xfId="0" applyFont="1" applyBorder="1" applyAlignment="1">
      <alignment horizontal="left" vertical="center"/>
    </xf>
    <xf numFmtId="0" fontId="15" fillId="0" borderId="6" xfId="0" applyFont="1" applyBorder="1" applyAlignment="1">
      <alignment horizontal="left" vertical="center" wrapText="1"/>
    </xf>
    <xf numFmtId="0" fontId="83" fillId="0" borderId="0" xfId="0" applyFont="1"/>
    <xf numFmtId="0" fontId="85" fillId="0" borderId="7" xfId="0" applyFont="1" applyBorder="1" applyAlignment="1">
      <alignment horizontal="left" vertical="center"/>
    </xf>
    <xf numFmtId="0" fontId="46" fillId="0" borderId="7" xfId="0" applyFont="1" applyBorder="1" applyAlignment="1">
      <alignment horizontal="left" vertical="center"/>
    </xf>
    <xf numFmtId="0" fontId="46" fillId="0" borderId="6" xfId="0" applyFont="1" applyBorder="1" applyAlignment="1">
      <alignment horizontal="left" vertical="center"/>
    </xf>
    <xf numFmtId="0" fontId="11" fillId="0" borderId="6" xfId="0" applyFont="1" applyBorder="1" applyAlignment="1">
      <alignment horizontal="left" vertical="center" wrapText="1"/>
    </xf>
    <xf numFmtId="164" fontId="11" fillId="0" borderId="6" xfId="0" applyNumberFormat="1" applyFont="1" applyBorder="1" applyAlignment="1">
      <alignment horizontal="left" vertical="center" wrapText="1"/>
    </xf>
    <xf numFmtId="164" fontId="15" fillId="0" borderId="0" xfId="0" applyNumberFormat="1" applyFont="1" applyAlignment="1">
      <alignment horizontal="center" vertical="top" wrapText="1"/>
    </xf>
    <xf numFmtId="0" fontId="15" fillId="0" borderId="0" xfId="0" applyFont="1" applyAlignment="1">
      <alignment horizontal="justify" vertical="center" wrapText="1"/>
    </xf>
    <xf numFmtId="0" fontId="15" fillId="0" borderId="0" xfId="0" applyFont="1" applyAlignment="1">
      <alignment vertical="center" wrapText="1"/>
    </xf>
    <xf numFmtId="0" fontId="46" fillId="0" borderId="7" xfId="0" applyFont="1" applyBorder="1"/>
    <xf numFmtId="0" fontId="46" fillId="0" borderId="8" xfId="0" applyFont="1" applyBorder="1" applyAlignment="1">
      <alignment vertical="center"/>
    </xf>
    <xf numFmtId="0" fontId="83" fillId="0" borderId="7" xfId="0" applyFont="1" applyBorder="1" applyAlignment="1">
      <alignment horizontal="center"/>
    </xf>
    <xf numFmtId="0" fontId="83" fillId="0" borderId="8" xfId="0" applyFont="1" applyBorder="1" applyAlignment="1">
      <alignment vertical="center"/>
    </xf>
    <xf numFmtId="167" fontId="11" fillId="10" borderId="7" xfId="1" applyNumberFormat="1" applyFont="1" applyFill="1" applyBorder="1" applyAlignment="1">
      <alignment horizontal="center" vertical="top" wrapText="1"/>
    </xf>
    <xf numFmtId="167" fontId="11" fillId="10" borderId="6" xfId="1" applyNumberFormat="1" applyFont="1" applyFill="1" applyBorder="1" applyAlignment="1">
      <alignment horizontal="center" vertical="top" wrapText="1"/>
    </xf>
    <xf numFmtId="167" fontId="11" fillId="10" borderId="8" xfId="1" applyNumberFormat="1" applyFont="1" applyFill="1" applyBorder="1" applyAlignment="1">
      <alignment horizontal="center" vertical="top" wrapText="1"/>
    </xf>
    <xf numFmtId="164" fontId="11" fillId="0" borderId="0" xfId="0" applyNumberFormat="1" applyFont="1" applyAlignment="1">
      <alignment vertical="center" wrapText="1"/>
    </xf>
    <xf numFmtId="0" fontId="15" fillId="0" borderId="6" xfId="0" applyFont="1" applyBorder="1" applyAlignment="1">
      <alignment horizontal="center" vertical="center" wrapText="1"/>
    </xf>
    <xf numFmtId="0" fontId="15" fillId="0" borderId="8" xfId="0" applyFont="1" applyBorder="1" applyAlignment="1">
      <alignment horizontal="center" vertical="center" wrapText="1"/>
    </xf>
    <xf numFmtId="0" fontId="83" fillId="0" borderId="7" xfId="0" applyFont="1" applyBorder="1" applyAlignment="1">
      <alignment horizontal="center" vertical="center"/>
    </xf>
    <xf numFmtId="0" fontId="21" fillId="0" borderId="0" xfId="0" applyFont="1" applyAlignment="1">
      <alignment vertical="center"/>
    </xf>
    <xf numFmtId="0" fontId="8" fillId="0" borderId="0" xfId="0" applyFont="1" applyAlignment="1">
      <alignment vertical="center" wrapText="1"/>
    </xf>
    <xf numFmtId="0" fontId="5" fillId="0" borderId="0" xfId="0" applyFont="1" applyAlignment="1">
      <alignment vertical="center" wrapText="1"/>
    </xf>
    <xf numFmtId="0" fontId="11" fillId="0" borderId="0" xfId="0" applyFont="1" applyAlignment="1">
      <alignment vertical="center" wrapText="1"/>
    </xf>
    <xf numFmtId="0" fontId="11" fillId="0" borderId="0" xfId="0" quotePrefix="1" applyFont="1" applyAlignment="1">
      <alignment vertical="center" wrapText="1"/>
    </xf>
    <xf numFmtId="0" fontId="21" fillId="0" borderId="0" xfId="0" applyFont="1" applyAlignment="1">
      <alignment horizontal="center" vertical="center"/>
    </xf>
    <xf numFmtId="0" fontId="4" fillId="0" borderId="0" xfId="0" applyFont="1" applyAlignment="1">
      <alignment vertical="center" wrapText="1"/>
    </xf>
    <xf numFmtId="0" fontId="90" fillId="0" borderId="0" xfId="0" applyFont="1" applyAlignment="1">
      <alignment vertical="top"/>
    </xf>
    <xf numFmtId="0" fontId="15" fillId="0" borderId="0" xfId="0" applyFont="1" applyAlignment="1">
      <alignment horizontal="left" vertical="center" wrapText="1"/>
    </xf>
    <xf numFmtId="0" fontId="4" fillId="0" borderId="0" xfId="0" quotePrefix="1" applyFont="1" applyAlignment="1">
      <alignment vertical="top"/>
    </xf>
    <xf numFmtId="0" fontId="91" fillId="0" borderId="0" xfId="0" applyFont="1" applyAlignment="1">
      <alignment horizontal="left" vertical="top" wrapText="1"/>
    </xf>
    <xf numFmtId="0" fontId="91" fillId="0" borderId="0" xfId="0" applyFont="1" applyAlignment="1">
      <alignment horizontal="left" vertical="center" wrapText="1"/>
    </xf>
    <xf numFmtId="0" fontId="47" fillId="0" borderId="0" xfId="0" applyFont="1" applyAlignment="1">
      <alignment vertical="top" wrapText="1"/>
    </xf>
    <xf numFmtId="167" fontId="47" fillId="0" borderId="0" xfId="1" applyNumberFormat="1" applyFont="1" applyFill="1" applyBorder="1" applyAlignment="1">
      <alignment horizontal="center" vertical="top" wrapText="1"/>
    </xf>
    <xf numFmtId="0" fontId="7" fillId="0" borderId="0" xfId="0" applyFont="1" applyAlignment="1">
      <alignment horizontal="center"/>
    </xf>
    <xf numFmtId="0" fontId="92" fillId="0" borderId="0" xfId="0" applyFont="1" applyAlignment="1">
      <alignment horizontal="justify"/>
    </xf>
    <xf numFmtId="0" fontId="87" fillId="0" borderId="0" xfId="0" applyFont="1" applyAlignment="1">
      <alignment horizontal="justify" vertical="center"/>
    </xf>
    <xf numFmtId="0" fontId="94" fillId="0" borderId="0" xfId="3" applyFont="1"/>
    <xf numFmtId="0" fontId="87" fillId="0" borderId="0" xfId="0" applyFont="1" applyAlignment="1">
      <alignment horizontal="justify"/>
    </xf>
    <xf numFmtId="0" fontId="81" fillId="0" borderId="0" xfId="0" applyFont="1" applyAlignment="1">
      <alignment horizontal="left" vertical="top" wrapText="1" indent="8"/>
    </xf>
    <xf numFmtId="0" fontId="81" fillId="0" borderId="0" xfId="0" applyFont="1" applyAlignment="1">
      <alignment horizontal="center" vertical="top" wrapText="1"/>
    </xf>
    <xf numFmtId="0" fontId="87" fillId="0" borderId="0" xfId="0" applyFont="1" applyAlignment="1">
      <alignment horizontal="center" vertical="top" wrapText="1"/>
    </xf>
    <xf numFmtId="0" fontId="87" fillId="0" borderId="0" xfId="0" applyFont="1" applyAlignment="1">
      <alignment vertical="top" wrapText="1"/>
    </xf>
    <xf numFmtId="3" fontId="92" fillId="0" borderId="0" xfId="4" quotePrefix="1" applyNumberFormat="1" applyFont="1" applyFill="1" applyAlignment="1">
      <alignment vertical="top"/>
    </xf>
    <xf numFmtId="3" fontId="92" fillId="0" borderId="0" xfId="4" applyNumberFormat="1" applyFont="1" applyFill="1" applyAlignment="1">
      <alignment vertical="top"/>
    </xf>
    <xf numFmtId="3" fontId="124" fillId="0" borderId="0" xfId="4" applyNumberFormat="1" applyFont="1" applyFill="1" applyAlignment="1">
      <alignment vertical="top"/>
    </xf>
    <xf numFmtId="3" fontId="117" fillId="0" borderId="0" xfId="4" applyNumberFormat="1" applyFont="1" applyFill="1" applyAlignment="1">
      <alignment vertical="top"/>
    </xf>
    <xf numFmtId="3" fontId="17" fillId="0" borderId="0" xfId="4" applyNumberFormat="1" applyFont="1" applyFill="1" applyAlignment="1">
      <alignment vertical="top"/>
    </xf>
    <xf numFmtId="3" fontId="87" fillId="0" borderId="0" xfId="4" applyNumberFormat="1" applyFont="1" applyFill="1" applyAlignment="1">
      <alignment vertical="top"/>
    </xf>
    <xf numFmtId="3" fontId="118" fillId="0" borderId="0" xfId="4" applyNumberFormat="1" applyFont="1" applyFill="1" applyAlignment="1">
      <alignment horizontal="left" vertical="top" wrapText="1"/>
    </xf>
    <xf numFmtId="3" fontId="87" fillId="0" borderId="0" xfId="4" applyNumberFormat="1" applyFont="1" applyFill="1" applyAlignment="1">
      <alignment horizontal="center" vertical="top"/>
    </xf>
    <xf numFmtId="3" fontId="125" fillId="0" borderId="0" xfId="4" applyNumberFormat="1" applyFont="1" applyFill="1" applyAlignment="1">
      <alignment vertical="top"/>
    </xf>
    <xf numFmtId="3" fontId="120" fillId="0" borderId="0" xfId="4" applyNumberFormat="1" applyFont="1" applyFill="1" applyAlignment="1">
      <alignment vertical="top"/>
    </xf>
    <xf numFmtId="3" fontId="120" fillId="0" borderId="0" xfId="4" quotePrefix="1" applyNumberFormat="1" applyFont="1" applyFill="1" applyAlignment="1">
      <alignment vertical="top"/>
    </xf>
    <xf numFmtId="3" fontId="120" fillId="0" borderId="0" xfId="4" applyNumberFormat="1" applyFont="1" applyFill="1" applyAlignment="1">
      <alignment horizontal="justify" vertical="top" wrapText="1"/>
    </xf>
    <xf numFmtId="3" fontId="42" fillId="0" borderId="0" xfId="4" applyNumberFormat="1" applyFont="1" applyFill="1" applyAlignment="1">
      <alignment horizontal="justify" vertical="top" wrapText="1"/>
    </xf>
    <xf numFmtId="3" fontId="47" fillId="0" borderId="0" xfId="4" applyNumberFormat="1" applyFont="1" applyFill="1" applyAlignment="1">
      <alignment vertical="top"/>
    </xf>
    <xf numFmtId="3" fontId="47" fillId="0" borderId="0" xfId="4" applyNumberFormat="1" applyFont="1" applyFill="1" applyAlignment="1">
      <alignment horizontal="justify" vertical="center" wrapText="1"/>
    </xf>
    <xf numFmtId="3" fontId="116" fillId="0" borderId="7" xfId="4" applyNumberFormat="1" applyFont="1" applyFill="1" applyBorder="1" applyAlignment="1">
      <alignment horizontal="left" vertical="center"/>
    </xf>
    <xf numFmtId="3" fontId="17" fillId="0" borderId="6" xfId="4" applyNumberFormat="1" applyFont="1" applyFill="1" applyBorder="1" applyAlignment="1">
      <alignment vertical="top"/>
    </xf>
    <xf numFmtId="3" fontId="20" fillId="0" borderId="6" xfId="4" applyNumberFormat="1" applyFont="1" applyFill="1" applyBorder="1" applyAlignment="1">
      <alignment horizontal="center" vertical="center"/>
    </xf>
    <xf numFmtId="3" fontId="118" fillId="0" borderId="11" xfId="4" applyNumberFormat="1" applyFont="1" applyFill="1" applyBorder="1" applyAlignment="1">
      <alignment vertical="top"/>
    </xf>
    <xf numFmtId="3" fontId="20" fillId="0" borderId="4" xfId="4" applyNumberFormat="1" applyFont="1" applyFill="1" applyBorder="1" applyAlignment="1">
      <alignment vertical="top"/>
    </xf>
    <xf numFmtId="3" fontId="20" fillId="0" borderId="0" xfId="33" applyNumberFormat="1" applyFont="1" applyFill="1" applyBorder="1" applyAlignment="1">
      <alignment horizontal="center" vertical="top" wrapText="1"/>
    </xf>
    <xf numFmtId="3" fontId="118" fillId="0" borderId="7" xfId="4" applyNumberFormat="1" applyFont="1" applyFill="1" applyBorder="1" applyAlignment="1">
      <alignment vertical="top"/>
    </xf>
    <xf numFmtId="3" fontId="20" fillId="0" borderId="6" xfId="4" applyNumberFormat="1" applyFont="1" applyFill="1" applyBorder="1" applyAlignment="1">
      <alignment vertical="top"/>
    </xf>
    <xf numFmtId="3" fontId="116" fillId="0" borderId="7" xfId="4" applyNumberFormat="1" applyFont="1" applyFill="1" applyBorder="1" applyAlignment="1">
      <alignment vertical="top"/>
    </xf>
    <xf numFmtId="3" fontId="29" fillId="0" borderId="6" xfId="4" applyNumberFormat="1" applyFont="1" applyFill="1" applyBorder="1" applyAlignment="1">
      <alignment vertical="top"/>
    </xf>
    <xf numFmtId="3" fontId="33" fillId="0" borderId="6" xfId="4" applyNumberFormat="1" applyFont="1" applyFill="1" applyBorder="1" applyAlignment="1">
      <alignment vertical="top"/>
    </xf>
    <xf numFmtId="3" fontId="29" fillId="0" borderId="0" xfId="4" applyNumberFormat="1" applyFont="1" applyFill="1" applyBorder="1" applyAlignment="1">
      <alignment vertical="top"/>
    </xf>
    <xf numFmtId="3" fontId="20" fillId="0" borderId="0" xfId="4" applyNumberFormat="1" applyFont="1" applyFill="1" applyBorder="1" applyAlignment="1">
      <alignment horizontal="center" vertical="top" wrapText="1"/>
    </xf>
    <xf numFmtId="3" fontId="20" fillId="0" borderId="0" xfId="4" applyNumberFormat="1" applyFont="1" applyFill="1" applyAlignment="1">
      <alignment horizontal="justify" vertical="center" wrapText="1"/>
    </xf>
    <xf numFmtId="3" fontId="116" fillId="0" borderId="0" xfId="4" applyNumberFormat="1" applyFont="1" applyFill="1" applyBorder="1" applyAlignment="1">
      <alignment vertical="top"/>
    </xf>
    <xf numFmtId="3" fontId="123" fillId="0" borderId="0" xfId="4" applyNumberFormat="1" applyFont="1" applyFill="1" applyAlignment="1">
      <alignment vertical="top"/>
    </xf>
    <xf numFmtId="3" fontId="115" fillId="0" borderId="0" xfId="4" applyNumberFormat="1" applyFont="1" applyFill="1" applyBorder="1" applyAlignment="1">
      <alignment vertical="top"/>
    </xf>
    <xf numFmtId="3" fontId="115" fillId="0" borderId="0" xfId="4" applyNumberFormat="1" applyFont="1" applyFill="1" applyBorder="1" applyAlignment="1">
      <alignment horizontal="center" vertical="top" wrapText="1"/>
    </xf>
    <xf numFmtId="3" fontId="115" fillId="0" borderId="0" xfId="4" applyNumberFormat="1" applyFont="1" applyFill="1" applyBorder="1" applyAlignment="1">
      <alignment horizontal="center" vertical="top"/>
    </xf>
    <xf numFmtId="3" fontId="94" fillId="0" borderId="0" xfId="4" applyNumberFormat="1" applyFont="1" applyFill="1" applyBorder="1" applyAlignment="1">
      <alignment horizontal="center" vertical="top"/>
    </xf>
    <xf numFmtId="3" fontId="94" fillId="0" borderId="0" xfId="4" applyNumberFormat="1" applyFont="1" applyFill="1" applyBorder="1" applyAlignment="1">
      <alignment horizontal="center" vertical="top" wrapText="1"/>
    </xf>
    <xf numFmtId="3" fontId="47" fillId="0" borderId="0" xfId="4" applyNumberFormat="1" applyFont="1" applyFill="1" applyBorder="1" applyAlignment="1">
      <alignment horizontal="center" vertical="top" wrapText="1"/>
    </xf>
    <xf numFmtId="3" fontId="94" fillId="0" borderId="0" xfId="4" applyNumberFormat="1" applyFont="1" applyFill="1" applyBorder="1" applyAlignment="1">
      <alignment horizontal="left" vertical="top"/>
    </xf>
    <xf numFmtId="3" fontId="20" fillId="0" borderId="0" xfId="33" applyNumberFormat="1" applyFont="1" applyFill="1" applyBorder="1" applyAlignment="1">
      <alignment horizontal="left" vertical="top" wrapText="1"/>
    </xf>
    <xf numFmtId="3" fontId="116" fillId="12" borderId="7" xfId="4" applyNumberFormat="1" applyFont="1" applyFill="1" applyBorder="1" applyAlignment="1">
      <alignment vertical="top"/>
    </xf>
    <xf numFmtId="3" fontId="17" fillId="12" borderId="6" xfId="4" applyNumberFormat="1" applyFont="1" applyFill="1" applyBorder="1" applyAlignment="1">
      <alignment vertical="top"/>
    </xf>
    <xf numFmtId="3" fontId="29" fillId="12" borderId="6" xfId="4" applyNumberFormat="1" applyFont="1" applyFill="1" applyBorder="1" applyAlignment="1">
      <alignment vertical="top"/>
    </xf>
    <xf numFmtId="3" fontId="47" fillId="0" borderId="0" xfId="33" applyNumberFormat="1" applyFont="1" applyFill="1" applyBorder="1" applyAlignment="1">
      <alignment horizontal="center" vertical="top" wrapText="1"/>
    </xf>
    <xf numFmtId="3" fontId="120" fillId="0" borderId="0" xfId="4" applyNumberFormat="1" applyFont="1" applyFill="1" applyAlignment="1">
      <alignment horizontal="left" vertical="top" wrapText="1"/>
    </xf>
    <xf numFmtId="3" fontId="42" fillId="0" borderId="0" xfId="4" applyNumberFormat="1" applyFont="1" applyFill="1" applyAlignment="1">
      <alignment horizontal="left" vertical="top" wrapText="1"/>
    </xf>
    <xf numFmtId="3" fontId="47" fillId="0" borderId="0" xfId="4" applyNumberFormat="1" applyFont="1" applyFill="1" applyAlignment="1">
      <alignment horizontal="left" vertical="center" wrapText="1"/>
    </xf>
    <xf numFmtId="3" fontId="20" fillId="0" borderId="6" xfId="4" applyNumberFormat="1" applyFont="1" applyFill="1" applyBorder="1" applyAlignment="1">
      <alignment horizontal="left" vertical="center"/>
    </xf>
    <xf numFmtId="3" fontId="20" fillId="0" borderId="4" xfId="4" applyNumberFormat="1" applyFont="1" applyFill="1" applyBorder="1" applyAlignment="1">
      <alignment horizontal="left" vertical="top"/>
    </xf>
    <xf numFmtId="3" fontId="20" fillId="0" borderId="6" xfId="4" applyNumberFormat="1" applyFont="1" applyFill="1" applyBorder="1" applyAlignment="1">
      <alignment horizontal="left" vertical="top"/>
    </xf>
    <xf numFmtId="3" fontId="29" fillId="0" borderId="6" xfId="4" applyNumberFormat="1" applyFont="1" applyFill="1" applyBorder="1" applyAlignment="1">
      <alignment horizontal="left" vertical="top"/>
    </xf>
    <xf numFmtId="3" fontId="33" fillId="0" borderId="6" xfId="4" applyNumberFormat="1" applyFont="1" applyFill="1" applyBorder="1" applyAlignment="1">
      <alignment horizontal="left" vertical="top"/>
    </xf>
    <xf numFmtId="3" fontId="29" fillId="12" borderId="6" xfId="4" applyNumberFormat="1" applyFont="1" applyFill="1" applyBorder="1" applyAlignment="1">
      <alignment horizontal="left" vertical="top"/>
    </xf>
    <xf numFmtId="3" fontId="29" fillId="0" borderId="0" xfId="4" applyNumberFormat="1" applyFont="1" applyFill="1" applyBorder="1" applyAlignment="1">
      <alignment horizontal="left" vertical="top"/>
    </xf>
    <xf numFmtId="3" fontId="20" fillId="0" borderId="0" xfId="4" applyNumberFormat="1" applyFont="1" applyFill="1" applyAlignment="1">
      <alignment horizontal="left" vertical="center" wrapText="1"/>
    </xf>
    <xf numFmtId="3" fontId="115" fillId="0" borderId="0" xfId="4" applyNumberFormat="1" applyFont="1" applyFill="1" applyBorder="1" applyAlignment="1">
      <alignment horizontal="left" vertical="top"/>
    </xf>
    <xf numFmtId="3" fontId="119" fillId="0" borderId="11" xfId="4" applyNumberFormat="1" applyFont="1" applyFill="1" applyBorder="1" applyAlignment="1">
      <alignment vertical="top"/>
    </xf>
    <xf numFmtId="49" fontId="95" fillId="0" borderId="0" xfId="0" applyNumberFormat="1" applyFont="1" applyAlignment="1">
      <alignment horizontal="center" vertical="center"/>
    </xf>
    <xf numFmtId="0" fontId="87" fillId="0" borderId="0" xfId="0" applyFont="1" applyAlignment="1">
      <alignment horizontal="right" vertical="center"/>
    </xf>
    <xf numFmtId="49" fontId="87" fillId="0" borderId="0" xfId="0" applyNumberFormat="1" applyFont="1" applyAlignment="1">
      <alignment horizontal="center"/>
    </xf>
    <xf numFmtId="0" fontId="87" fillId="0" borderId="0" xfId="0" applyFont="1" applyAlignment="1">
      <alignment vertical="top" wrapText="1"/>
    </xf>
    <xf numFmtId="0" fontId="7" fillId="0" borderId="0" xfId="0" applyFont="1" applyAlignment="1">
      <alignment horizontal="center"/>
    </xf>
    <xf numFmtId="0" fontId="5" fillId="0" borderId="0" xfId="0" applyFont="1" applyAlignment="1">
      <alignment horizontal="justify" vertical="top" wrapText="1"/>
    </xf>
    <xf numFmtId="0" fontId="94" fillId="0" borderId="0" xfId="3" applyFont="1" applyAlignment="1">
      <alignment horizontal="center"/>
    </xf>
    <xf numFmtId="0" fontId="8" fillId="0" borderId="0" xfId="0" applyFont="1" applyAlignment="1">
      <alignment horizontal="left" vertical="top" wrapText="1"/>
    </xf>
    <xf numFmtId="167" fontId="47" fillId="0" borderId="0" xfId="1" applyNumberFormat="1" applyFont="1" applyFill="1" applyBorder="1" applyAlignment="1">
      <alignment horizontal="left" vertical="top" wrapText="1"/>
    </xf>
    <xf numFmtId="167" fontId="47" fillId="0" borderId="0" xfId="1" applyNumberFormat="1" applyFont="1" applyFill="1" applyBorder="1" applyAlignment="1">
      <alignment horizontal="center" vertical="top" wrapText="1"/>
    </xf>
    <xf numFmtId="0" fontId="8" fillId="0" borderId="0" xfId="0" applyFont="1" applyAlignment="1">
      <alignment vertical="top" wrapText="1"/>
    </xf>
    <xf numFmtId="0" fontId="8" fillId="0" borderId="0" xfId="0" applyFont="1" applyAlignment="1">
      <alignment horizontal="center" vertical="top" wrapText="1"/>
    </xf>
    <xf numFmtId="0" fontId="11" fillId="0" borderId="0" xfId="0" applyFont="1" applyAlignment="1">
      <alignment horizontal="justify" vertical="top" wrapText="1"/>
    </xf>
    <xf numFmtId="0" fontId="8" fillId="0" borderId="0" xfId="0" applyFont="1" applyAlignment="1">
      <alignment horizontal="justify" vertical="top" wrapText="1"/>
    </xf>
    <xf numFmtId="0" fontId="15" fillId="0" borderId="0" xfId="0" applyFont="1" applyAlignment="1">
      <alignment horizontal="left" vertical="center" wrapText="1"/>
    </xf>
    <xf numFmtId="0" fontId="11" fillId="0" borderId="0" xfId="0" applyFont="1" applyAlignment="1">
      <alignment horizontal="left" vertical="center" wrapText="1"/>
    </xf>
    <xf numFmtId="0" fontId="7" fillId="0" borderId="0" xfId="0" applyFont="1" applyAlignment="1">
      <alignment horizontal="left" vertical="top" wrapText="1"/>
    </xf>
    <xf numFmtId="0" fontId="84" fillId="0" borderId="7" xfId="0" applyFont="1" applyBorder="1" applyAlignment="1">
      <alignment vertical="center" wrapText="1"/>
    </xf>
    <xf numFmtId="0" fontId="84" fillId="0" borderId="6" xfId="0" applyFont="1" applyBorder="1" applyAlignment="1">
      <alignment vertical="center" wrapText="1"/>
    </xf>
    <xf numFmtId="0" fontId="84" fillId="0" borderId="8" xfId="0" applyFont="1" applyBorder="1" applyAlignment="1">
      <alignment vertical="center" wrapText="1"/>
    </xf>
    <xf numFmtId="167" fontId="11" fillId="10" borderId="7" xfId="1" applyNumberFormat="1" applyFont="1" applyFill="1" applyBorder="1" applyAlignment="1">
      <alignment horizontal="center" vertical="center" wrapText="1"/>
    </xf>
    <xf numFmtId="167" fontId="11" fillId="10" borderId="6" xfId="1" applyNumberFormat="1" applyFont="1" applyFill="1" applyBorder="1" applyAlignment="1">
      <alignment horizontal="center" vertical="center" wrapText="1"/>
    </xf>
    <xf numFmtId="167" fontId="11" fillId="10" borderId="8" xfId="1" applyNumberFormat="1" applyFont="1" applyFill="1" applyBorder="1" applyAlignment="1">
      <alignment horizontal="center" vertical="center" wrapText="1"/>
    </xf>
    <xf numFmtId="0" fontId="4" fillId="3" borderId="7" xfId="0" applyFont="1" applyFill="1" applyBorder="1" applyAlignment="1">
      <alignment vertical="center" wrapText="1"/>
    </xf>
    <xf numFmtId="0" fontId="4" fillId="3" borderId="6" xfId="0" applyFont="1" applyFill="1" applyBorder="1" applyAlignment="1">
      <alignment vertical="center" wrapText="1"/>
    </xf>
    <xf numFmtId="0" fontId="4" fillId="3" borderId="8" xfId="0" applyFont="1" applyFill="1" applyBorder="1" applyAlignment="1">
      <alignment vertical="center" wrapText="1"/>
    </xf>
    <xf numFmtId="167" fontId="11" fillId="3" borderId="7" xfId="1" applyNumberFormat="1" applyFont="1" applyFill="1" applyBorder="1" applyAlignment="1">
      <alignment horizontal="center" vertical="center" wrapText="1"/>
    </xf>
    <xf numFmtId="167" fontId="11" fillId="3" borderId="6" xfId="1" applyNumberFormat="1" applyFont="1" applyFill="1" applyBorder="1" applyAlignment="1">
      <alignment horizontal="center" vertical="center" wrapText="1"/>
    </xf>
    <xf numFmtId="167" fontId="11" fillId="3" borderId="8" xfId="1" applyNumberFormat="1" applyFont="1" applyFill="1" applyBorder="1" applyAlignment="1">
      <alignment horizontal="center" vertical="center" wrapText="1"/>
    </xf>
    <xf numFmtId="0" fontId="21" fillId="0" borderId="5" xfId="0" applyFont="1" applyBorder="1" applyAlignment="1">
      <alignment horizontal="center" vertical="center"/>
    </xf>
    <xf numFmtId="0" fontId="15" fillId="3" borderId="7"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9" fillId="0" borderId="0" xfId="0" applyFont="1" applyAlignment="1">
      <alignment horizontal="left" vertical="top" wrapText="1"/>
    </xf>
    <xf numFmtId="167" fontId="15" fillId="3" borderId="7" xfId="1" applyNumberFormat="1" applyFont="1" applyFill="1" applyBorder="1" applyAlignment="1">
      <alignment horizontal="center" vertical="center" wrapText="1"/>
    </xf>
    <xf numFmtId="167" fontId="15" fillId="3" borderId="6" xfId="1" applyNumberFormat="1" applyFont="1" applyFill="1" applyBorder="1" applyAlignment="1">
      <alignment horizontal="center" vertical="center" wrapText="1"/>
    </xf>
    <xf numFmtId="167" fontId="15" fillId="3" borderId="8" xfId="1" applyNumberFormat="1" applyFont="1" applyFill="1" applyBorder="1" applyAlignment="1">
      <alignment horizontal="center" vertical="center" wrapText="1"/>
    </xf>
    <xf numFmtId="0" fontId="21" fillId="0" borderId="5" xfId="0" applyFont="1" applyBorder="1" applyAlignment="1">
      <alignment horizontal="center" vertical="top" wrapText="1"/>
    </xf>
    <xf numFmtId="0" fontId="89" fillId="0" borderId="7" xfId="0" applyFont="1" applyBorder="1" applyAlignment="1">
      <alignment vertical="center" wrapText="1"/>
    </xf>
    <xf numFmtId="0" fontId="5" fillId="0" borderId="6" xfId="0" applyFont="1" applyBorder="1" applyAlignment="1">
      <alignment vertical="center" wrapText="1"/>
    </xf>
    <xf numFmtId="0" fontId="5" fillId="0" borderId="8" xfId="0" applyFont="1" applyBorder="1" applyAlignment="1">
      <alignment vertical="center" wrapText="1"/>
    </xf>
    <xf numFmtId="0" fontId="5" fillId="0" borderId="6" xfId="0" applyFont="1" applyBorder="1"/>
    <xf numFmtId="0" fontId="5" fillId="0" borderId="8" xfId="0" applyFont="1" applyBorder="1"/>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8" xfId="0" applyFont="1" applyFill="1" applyBorder="1" applyAlignment="1">
      <alignment horizontal="left" vertical="center" wrapText="1"/>
    </xf>
    <xf numFmtId="167" fontId="15" fillId="3" borderId="7" xfId="1" applyNumberFormat="1" applyFont="1" applyFill="1" applyBorder="1" applyAlignment="1">
      <alignment horizontal="left" vertical="center" wrapText="1"/>
    </xf>
    <xf numFmtId="167" fontId="15" fillId="3" borderId="6" xfId="1" applyNumberFormat="1" applyFont="1" applyFill="1" applyBorder="1" applyAlignment="1">
      <alignment horizontal="left" vertical="center" wrapText="1"/>
    </xf>
    <xf numFmtId="167" fontId="15" fillId="3" borderId="8" xfId="1" applyNumberFormat="1" applyFont="1" applyFill="1" applyBorder="1" applyAlignment="1">
      <alignment horizontal="left" vertical="center" wrapText="1"/>
    </xf>
    <xf numFmtId="0" fontId="46" fillId="3" borderId="7" xfId="0" applyFont="1" applyFill="1" applyBorder="1" applyAlignment="1">
      <alignment horizontal="center" vertical="center"/>
    </xf>
    <xf numFmtId="0" fontId="46" fillId="3" borderId="6" xfId="0" applyFont="1" applyFill="1" applyBorder="1" applyAlignment="1">
      <alignment horizontal="center" vertical="center"/>
    </xf>
    <xf numFmtId="0" fontId="46" fillId="3" borderId="8" xfId="0" applyFont="1" applyFill="1" applyBorder="1" applyAlignment="1">
      <alignment horizontal="center" vertical="center"/>
    </xf>
    <xf numFmtId="164" fontId="11" fillId="0" borderId="4" xfId="0" applyNumberFormat="1" applyFont="1" applyBorder="1" applyAlignment="1">
      <alignment horizontal="center" vertical="center" wrapText="1"/>
    </xf>
    <xf numFmtId="167" fontId="15" fillId="10" borderId="7" xfId="1" applyNumberFormat="1" applyFont="1" applyFill="1" applyBorder="1" applyAlignment="1">
      <alignment horizontal="center" vertical="center" wrapText="1"/>
    </xf>
    <xf numFmtId="167" fontId="15" fillId="10" borderId="6" xfId="1" applyNumberFormat="1" applyFont="1" applyFill="1" applyBorder="1" applyAlignment="1">
      <alignment horizontal="center" vertical="center" wrapText="1"/>
    </xf>
    <xf numFmtId="167" fontId="15" fillId="10" borderId="8" xfId="1" applyNumberFormat="1" applyFont="1" applyFill="1" applyBorder="1" applyAlignment="1">
      <alignment horizontal="center" vertical="center" wrapText="1"/>
    </xf>
    <xf numFmtId="0" fontId="21" fillId="0" borderId="5" xfId="0" applyFont="1" applyBorder="1" applyAlignment="1">
      <alignment horizontal="center" vertical="top"/>
    </xf>
    <xf numFmtId="0" fontId="15" fillId="3" borderId="7" xfId="0" applyFont="1" applyFill="1" applyBorder="1" applyAlignment="1">
      <alignment horizontal="center" vertical="top" wrapText="1"/>
    </xf>
    <xf numFmtId="0" fontId="15" fillId="3" borderId="6" xfId="0" applyFont="1" applyFill="1" applyBorder="1" applyAlignment="1">
      <alignment horizontal="center" vertical="top" wrapText="1"/>
    </xf>
    <xf numFmtId="0" fontId="15" fillId="3" borderId="8" xfId="0" applyFont="1" applyFill="1" applyBorder="1" applyAlignment="1">
      <alignment horizontal="center" vertical="top" wrapText="1"/>
    </xf>
    <xf numFmtId="167" fontId="15" fillId="3" borderId="7" xfId="1" applyNumberFormat="1" applyFont="1" applyFill="1" applyBorder="1" applyAlignment="1">
      <alignment horizontal="center" vertical="top" wrapText="1"/>
    </xf>
    <xf numFmtId="167" fontId="15" fillId="3" borderId="6" xfId="1" applyNumberFormat="1" applyFont="1" applyFill="1" applyBorder="1" applyAlignment="1">
      <alignment horizontal="center" vertical="top" wrapText="1"/>
    </xf>
    <xf numFmtId="167" fontId="15" fillId="3" borderId="8" xfId="1" applyNumberFormat="1" applyFont="1" applyFill="1" applyBorder="1" applyAlignment="1">
      <alignment horizontal="center" vertical="top" wrapText="1"/>
    </xf>
    <xf numFmtId="167" fontId="11" fillId="10" borderId="7" xfId="1" applyNumberFormat="1" applyFont="1" applyFill="1" applyBorder="1" applyAlignment="1">
      <alignment horizontal="center" vertical="top" wrapText="1"/>
    </xf>
    <xf numFmtId="167" fontId="11" fillId="10" borderId="6" xfId="1" applyNumberFormat="1" applyFont="1" applyFill="1" applyBorder="1" applyAlignment="1">
      <alignment horizontal="center" vertical="top" wrapText="1"/>
    </xf>
    <xf numFmtId="167" fontId="11" fillId="10" borderId="8" xfId="1" applyNumberFormat="1" applyFont="1" applyFill="1" applyBorder="1" applyAlignment="1">
      <alignment horizontal="center" vertical="top" wrapText="1"/>
    </xf>
    <xf numFmtId="167" fontId="15" fillId="10" borderId="7" xfId="1" applyNumberFormat="1" applyFont="1" applyFill="1" applyBorder="1" applyAlignment="1">
      <alignment horizontal="center" vertical="top" wrapText="1"/>
    </xf>
    <xf numFmtId="167" fontId="15" fillId="10" borderId="6" xfId="1" applyNumberFormat="1" applyFont="1" applyFill="1" applyBorder="1" applyAlignment="1">
      <alignment horizontal="center" vertical="top" wrapText="1"/>
    </xf>
    <xf numFmtId="167" fontId="15" fillId="10" borderId="8" xfId="1" applyNumberFormat="1" applyFont="1" applyFill="1" applyBorder="1" applyAlignment="1">
      <alignment horizontal="center" vertical="top" wrapText="1"/>
    </xf>
    <xf numFmtId="167" fontId="11" fillId="0" borderId="0" xfId="1" applyNumberFormat="1" applyFont="1" applyBorder="1" applyAlignment="1">
      <alignment horizontal="left" vertical="top" wrapText="1"/>
    </xf>
    <xf numFmtId="0" fontId="46" fillId="0" borderId="7" xfId="0" applyFont="1" applyBorder="1" applyAlignment="1">
      <alignment horizontal="left" vertical="center" wrapText="1"/>
    </xf>
    <xf numFmtId="0" fontId="46" fillId="0" borderId="6" xfId="0" applyFont="1" applyBorder="1" applyAlignment="1">
      <alignment horizontal="left" vertical="center" wrapText="1"/>
    </xf>
    <xf numFmtId="0" fontId="46" fillId="0" borderId="8" xfId="0" applyFont="1" applyBorder="1" applyAlignment="1">
      <alignment horizontal="left" vertical="center" wrapText="1"/>
    </xf>
    <xf numFmtId="0" fontId="83" fillId="0" borderId="6" xfId="0" applyFont="1" applyBorder="1" applyAlignment="1">
      <alignment horizontal="left" vertical="center" wrapText="1"/>
    </xf>
    <xf numFmtId="0" fontId="83" fillId="0" borderId="8" xfId="0" applyFont="1" applyBorder="1" applyAlignment="1">
      <alignment horizontal="left" vertical="center" wrapText="1"/>
    </xf>
    <xf numFmtId="169" fontId="32" fillId="0" borderId="1" xfId="0" applyNumberFormat="1" applyFont="1" applyBorder="1" applyAlignment="1">
      <alignment horizontal="left" vertical="top" wrapText="1"/>
    </xf>
    <xf numFmtId="0" fontId="25" fillId="0" borderId="1" xfId="0" applyFont="1" applyBorder="1" applyAlignment="1">
      <alignment horizontal="left" vertical="top" wrapText="1"/>
    </xf>
    <xf numFmtId="167" fontId="20" fillId="15" borderId="7" xfId="1" applyNumberFormat="1" applyFont="1" applyFill="1" applyBorder="1" applyAlignment="1">
      <alignment horizontal="center" vertical="center" wrapText="1"/>
    </xf>
    <xf numFmtId="167" fontId="20" fillId="15" borderId="6" xfId="1" applyNumberFormat="1" applyFont="1" applyFill="1" applyBorder="1" applyAlignment="1">
      <alignment horizontal="center" vertical="center" wrapText="1"/>
    </xf>
    <xf numFmtId="167" fontId="20" fillId="15" borderId="8" xfId="1" applyNumberFormat="1" applyFont="1" applyFill="1" applyBorder="1" applyAlignment="1">
      <alignment horizontal="center" vertical="center" wrapText="1"/>
    </xf>
    <xf numFmtId="167" fontId="20" fillId="11" borderId="7" xfId="1" applyNumberFormat="1" applyFont="1" applyFill="1" applyBorder="1" applyAlignment="1">
      <alignment horizontal="center" vertical="center" wrapText="1"/>
    </xf>
    <xf numFmtId="167" fontId="20" fillId="11" borderId="6" xfId="1" applyNumberFormat="1" applyFont="1" applyFill="1" applyBorder="1" applyAlignment="1">
      <alignment horizontal="center" vertical="center" wrapText="1"/>
    </xf>
    <xf numFmtId="167" fontId="20" fillId="11" borderId="8" xfId="1" applyNumberFormat="1" applyFont="1" applyFill="1" applyBorder="1" applyAlignment="1">
      <alignment horizontal="center" vertical="center" wrapText="1"/>
    </xf>
    <xf numFmtId="167" fontId="18" fillId="9" borderId="1" xfId="1" applyNumberFormat="1" applyFont="1" applyFill="1" applyBorder="1" applyAlignment="1">
      <alignment horizontal="center" vertical="center" wrapText="1"/>
    </xf>
    <xf numFmtId="0" fontId="0" fillId="0" borderId="1" xfId="0" applyBorder="1"/>
    <xf numFmtId="0" fontId="15" fillId="7" borderId="7"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8" xfId="0" applyFont="1" applyFill="1" applyBorder="1" applyAlignment="1">
      <alignment horizontal="center" vertical="center" wrapText="1"/>
    </xf>
    <xf numFmtId="167" fontId="29" fillId="7" borderId="7" xfId="1" applyNumberFormat="1" applyFont="1" applyFill="1" applyBorder="1" applyAlignment="1">
      <alignment horizontal="center" vertical="center" wrapText="1"/>
    </xf>
    <xf numFmtId="167" fontId="29" fillId="7" borderId="6" xfId="1" applyNumberFormat="1" applyFont="1" applyFill="1" applyBorder="1" applyAlignment="1">
      <alignment horizontal="center" vertical="center" wrapText="1"/>
    </xf>
    <xf numFmtId="167" fontId="29" fillId="7" borderId="8" xfId="1" applyNumberFormat="1" applyFont="1" applyFill="1" applyBorder="1" applyAlignment="1">
      <alignment horizontal="center" vertical="center" wrapText="1"/>
    </xf>
    <xf numFmtId="167" fontId="45" fillId="9" borderId="1" xfId="1" applyNumberFormat="1" applyFont="1" applyFill="1" applyBorder="1" applyAlignment="1">
      <alignment horizontal="center" vertical="center" wrapText="1"/>
    </xf>
    <xf numFmtId="0" fontId="32"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1" fillId="0" borderId="0" xfId="0" applyFont="1" applyAlignment="1">
      <alignment horizontal="center" vertical="top"/>
    </xf>
    <xf numFmtId="0" fontId="85" fillId="7" borderId="7" xfId="0" applyFont="1" applyFill="1" applyBorder="1" applyAlignment="1">
      <alignment horizontal="center" vertical="center"/>
    </xf>
    <xf numFmtId="0" fontId="85" fillId="7" borderId="6" xfId="0" applyFont="1" applyFill="1" applyBorder="1" applyAlignment="1">
      <alignment horizontal="center" vertical="center"/>
    </xf>
    <xf numFmtId="0" fontId="85" fillId="7" borderId="8" xfId="0" applyFont="1" applyFill="1" applyBorder="1" applyAlignment="1">
      <alignment horizontal="center" vertical="center"/>
    </xf>
    <xf numFmtId="167" fontId="15" fillId="7" borderId="7" xfId="1" applyNumberFormat="1" applyFont="1" applyFill="1" applyBorder="1" applyAlignment="1">
      <alignment horizontal="center" vertical="center" wrapText="1"/>
    </xf>
    <xf numFmtId="167" fontId="15" fillId="7" borderId="6" xfId="1" applyNumberFormat="1" applyFont="1" applyFill="1" applyBorder="1" applyAlignment="1">
      <alignment horizontal="center" vertical="center" wrapText="1"/>
    </xf>
    <xf numFmtId="167" fontId="15" fillId="7" borderId="8" xfId="1" applyNumberFormat="1" applyFont="1" applyFill="1" applyBorder="1" applyAlignment="1">
      <alignment horizontal="center" vertical="center" wrapText="1"/>
    </xf>
    <xf numFmtId="0" fontId="15" fillId="7" borderId="7" xfId="0" applyFont="1" applyFill="1" applyBorder="1" applyAlignment="1">
      <alignment horizontal="center" vertical="top" wrapText="1"/>
    </xf>
    <xf numFmtId="0" fontId="15" fillId="7" borderId="6" xfId="0" applyFont="1" applyFill="1" applyBorder="1" applyAlignment="1">
      <alignment horizontal="center" vertical="top" wrapText="1"/>
    </xf>
    <xf numFmtId="0" fontId="15" fillId="7" borderId="8" xfId="0" applyFont="1" applyFill="1" applyBorder="1" applyAlignment="1">
      <alignment horizontal="center" vertical="top" wrapText="1"/>
    </xf>
    <xf numFmtId="0" fontId="46" fillId="7" borderId="6" xfId="0" applyFont="1" applyFill="1" applyBorder="1" applyAlignment="1">
      <alignment horizontal="center" vertical="center"/>
    </xf>
    <xf numFmtId="0" fontId="46" fillId="7" borderId="8" xfId="0" applyFont="1" applyFill="1" applyBorder="1" applyAlignment="1">
      <alignment horizontal="center" vertical="center"/>
    </xf>
    <xf numFmtId="164" fontId="15" fillId="7" borderId="7" xfId="0" applyNumberFormat="1" applyFont="1" applyFill="1" applyBorder="1" applyAlignment="1">
      <alignment horizontal="center" vertical="center" wrapText="1"/>
    </xf>
    <xf numFmtId="164" fontId="15" fillId="7" borderId="6" xfId="0" applyNumberFormat="1" applyFont="1" applyFill="1" applyBorder="1" applyAlignment="1">
      <alignment horizontal="center" vertical="center" wrapText="1"/>
    </xf>
    <xf numFmtId="164" fontId="15" fillId="7" borderId="8" xfId="0" applyNumberFormat="1" applyFont="1" applyFill="1" applyBorder="1" applyAlignment="1">
      <alignment horizontal="center" vertical="center" wrapText="1"/>
    </xf>
    <xf numFmtId="167" fontId="11" fillId="15" borderId="7" xfId="1" applyNumberFormat="1" applyFont="1" applyFill="1" applyBorder="1" applyAlignment="1">
      <alignment horizontal="center" vertical="center" wrapText="1"/>
    </xf>
    <xf numFmtId="167" fontId="11" fillId="15" borderId="6" xfId="1" applyNumberFormat="1" applyFont="1" applyFill="1" applyBorder="1" applyAlignment="1">
      <alignment horizontal="center" vertical="center" wrapText="1"/>
    </xf>
    <xf numFmtId="167" fontId="11" fillId="15" borderId="8" xfId="1" applyNumberFormat="1" applyFont="1" applyFill="1" applyBorder="1" applyAlignment="1">
      <alignment horizontal="center" vertical="center" wrapText="1"/>
    </xf>
    <xf numFmtId="167" fontId="11" fillId="11" borderId="7" xfId="1" applyNumberFormat="1" applyFont="1" applyFill="1" applyBorder="1" applyAlignment="1">
      <alignment horizontal="center" vertical="center" wrapText="1"/>
    </xf>
    <xf numFmtId="167" fontId="11" fillId="11" borderId="6" xfId="1" applyNumberFormat="1" applyFont="1" applyFill="1" applyBorder="1" applyAlignment="1">
      <alignment horizontal="center" vertical="center" wrapText="1"/>
    </xf>
    <xf numFmtId="167" fontId="11" fillId="11" borderId="8" xfId="1" applyNumberFormat="1" applyFont="1" applyFill="1" applyBorder="1" applyAlignment="1">
      <alignment horizontal="center" vertical="center" wrapText="1"/>
    </xf>
    <xf numFmtId="0" fontId="81" fillId="0" borderId="0" xfId="0" applyFont="1" applyAlignment="1">
      <alignment horizontal="left" vertical="center"/>
    </xf>
    <xf numFmtId="0" fontId="83" fillId="0" borderId="7" xfId="0" applyFont="1" applyBorder="1" applyAlignment="1">
      <alignment horizontal="left" vertical="center" wrapText="1"/>
    </xf>
    <xf numFmtId="167" fontId="20" fillId="10" borderId="7" xfId="1" applyNumberFormat="1" applyFont="1" applyFill="1" applyBorder="1" applyAlignment="1">
      <alignment horizontal="center" vertical="center" wrapText="1"/>
    </xf>
    <xf numFmtId="167" fontId="20" fillId="10" borderId="6" xfId="1" applyNumberFormat="1" applyFont="1" applyFill="1" applyBorder="1" applyAlignment="1">
      <alignment horizontal="center" vertical="center" wrapText="1"/>
    </xf>
    <xf numFmtId="167" fontId="20" fillId="10" borderId="8" xfId="1" applyNumberFormat="1" applyFont="1" applyFill="1" applyBorder="1" applyAlignment="1">
      <alignment horizontal="center" vertical="center" wrapText="1"/>
    </xf>
    <xf numFmtId="167" fontId="29" fillId="10" borderId="7" xfId="1" applyNumberFormat="1" applyFont="1" applyFill="1" applyBorder="1" applyAlignment="1">
      <alignment horizontal="center" vertical="center" wrapText="1"/>
    </xf>
    <xf numFmtId="167" fontId="29" fillId="10" borderId="6" xfId="1" applyNumberFormat="1" applyFont="1" applyFill="1" applyBorder="1" applyAlignment="1">
      <alignment horizontal="center" vertical="center" wrapText="1"/>
    </xf>
    <xf numFmtId="167" fontId="29" fillId="10" borderId="8" xfId="1" applyNumberFormat="1" applyFont="1" applyFill="1" applyBorder="1" applyAlignment="1">
      <alignment horizontal="center" vertical="center" wrapText="1"/>
    </xf>
    <xf numFmtId="0" fontId="46" fillId="7" borderId="7" xfId="0" applyFont="1" applyFill="1" applyBorder="1" applyAlignment="1">
      <alignment horizontal="center" vertical="center"/>
    </xf>
    <xf numFmtId="164" fontId="11" fillId="7" borderId="7" xfId="0" applyNumberFormat="1" applyFont="1" applyFill="1" applyBorder="1" applyAlignment="1">
      <alignment horizontal="center" vertical="center" wrapText="1"/>
    </xf>
    <xf numFmtId="164" fontId="11" fillId="7" borderId="6" xfId="0" applyNumberFormat="1" applyFont="1" applyFill="1" applyBorder="1" applyAlignment="1">
      <alignment horizontal="center" vertical="center" wrapText="1"/>
    </xf>
    <xf numFmtId="164" fontId="11" fillId="7" borderId="8" xfId="0" applyNumberFormat="1" applyFont="1" applyFill="1" applyBorder="1" applyAlignment="1">
      <alignment horizontal="center" vertical="center" wrapText="1"/>
    </xf>
    <xf numFmtId="0" fontId="25" fillId="0" borderId="7" xfId="0" applyFont="1" applyBorder="1" applyAlignment="1">
      <alignment horizontal="left" vertical="center" wrapText="1"/>
    </xf>
    <xf numFmtId="0" fontId="25" fillId="0" borderId="6" xfId="0" applyFont="1" applyBorder="1" applyAlignment="1">
      <alignment horizontal="left" vertical="center" wrapText="1"/>
    </xf>
    <xf numFmtId="0" fontId="25" fillId="0" borderId="8" xfId="0" applyFont="1" applyBorder="1" applyAlignment="1">
      <alignment horizontal="left" vertical="center" wrapText="1"/>
    </xf>
    <xf numFmtId="0" fontId="87" fillId="0" borderId="7" xfId="0" applyFont="1" applyBorder="1" applyAlignment="1">
      <alignment horizontal="left" vertical="center" wrapText="1"/>
    </xf>
    <xf numFmtId="0" fontId="87" fillId="0" borderId="6" xfId="0" applyFont="1" applyBorder="1" applyAlignment="1">
      <alignment horizontal="left" vertical="center" wrapText="1"/>
    </xf>
    <xf numFmtId="0" fontId="87" fillId="0" borderId="8" xfId="0" applyFont="1" applyBorder="1" applyAlignment="1">
      <alignment horizontal="left" vertical="center" wrapText="1"/>
    </xf>
    <xf numFmtId="0" fontId="87" fillId="0" borderId="7" xfId="0" applyFont="1" applyBorder="1" applyAlignment="1">
      <alignment horizontal="left" vertical="justify"/>
    </xf>
    <xf numFmtId="0" fontId="87" fillId="0" borderId="6" xfId="0" applyFont="1" applyBorder="1" applyAlignment="1">
      <alignment horizontal="left" vertical="justify"/>
    </xf>
    <xf numFmtId="0" fontId="87" fillId="0" borderId="8" xfId="0" applyFont="1" applyBorder="1" applyAlignment="1">
      <alignment horizontal="left" vertical="justify"/>
    </xf>
    <xf numFmtId="0" fontId="11" fillId="0" borderId="0" xfId="0" applyFont="1" applyAlignment="1">
      <alignment horizontal="left" vertical="top" wrapText="1"/>
    </xf>
    <xf numFmtId="167" fontId="16" fillId="0" borderId="0" xfId="1" applyNumberFormat="1" applyFont="1" applyBorder="1" applyAlignment="1">
      <alignment horizontal="center" vertical="top" wrapText="1"/>
    </xf>
    <xf numFmtId="0" fontId="15" fillId="0" borderId="0" xfId="0" applyFont="1" applyAlignment="1">
      <alignment horizontal="left" vertical="top" wrapText="1"/>
    </xf>
    <xf numFmtId="167" fontId="7" fillId="0" borderId="0" xfId="1" applyNumberFormat="1" applyFont="1" applyBorder="1" applyAlignment="1">
      <alignment horizontal="center" vertical="top" wrapText="1"/>
    </xf>
    <xf numFmtId="0" fontId="11" fillId="0" borderId="4" xfId="0" applyFont="1" applyBorder="1" applyAlignment="1">
      <alignment horizontal="justify" vertical="top"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86" fillId="0" borderId="6" xfId="0" applyFont="1" applyBorder="1" applyAlignment="1">
      <alignment horizontal="left" vertical="center" wrapText="1"/>
    </xf>
    <xf numFmtId="0" fontId="86" fillId="0" borderId="8" xfId="0" applyFont="1" applyBorder="1" applyAlignment="1">
      <alignment horizontal="left" vertical="center" wrapText="1"/>
    </xf>
    <xf numFmtId="0" fontId="11" fillId="0" borderId="1" xfId="0" applyFont="1" applyBorder="1" applyAlignment="1">
      <alignment horizontal="left" vertical="top" wrapText="1"/>
    </xf>
    <xf numFmtId="43" fontId="11" fillId="0" borderId="1" xfId="2" applyFont="1" applyBorder="1" applyAlignment="1">
      <alignment horizontal="left" vertical="top" wrapText="1"/>
    </xf>
    <xf numFmtId="0" fontId="11" fillId="0" borderId="5" xfId="0" applyFont="1" applyBorder="1" applyAlignment="1">
      <alignment horizontal="justify" vertical="top" wrapText="1"/>
    </xf>
    <xf numFmtId="0" fontId="15" fillId="0" borderId="1" xfId="0" applyFont="1" applyBorder="1" applyAlignment="1">
      <alignment horizontal="center" vertical="top" wrapText="1"/>
    </xf>
    <xf numFmtId="167" fontId="11" fillId="0" borderId="7" xfId="1" applyNumberFormat="1" applyFont="1" applyBorder="1" applyAlignment="1">
      <alignment horizontal="center" vertical="center" wrapText="1"/>
    </xf>
    <xf numFmtId="167" fontId="11" fillId="0" borderId="6" xfId="1" applyNumberFormat="1" applyFont="1" applyBorder="1" applyAlignment="1">
      <alignment horizontal="center" vertical="center" wrapText="1"/>
    </xf>
    <xf numFmtId="165" fontId="11" fillId="0" borderId="1" xfId="0" applyNumberFormat="1" applyFont="1" applyBorder="1" applyAlignment="1">
      <alignment horizontal="center" vertical="top" wrapText="1"/>
    </xf>
    <xf numFmtId="0" fontId="11" fillId="0" borderId="1" xfId="0" applyFont="1" applyBorder="1" applyAlignment="1">
      <alignment horizontal="center" vertical="top" wrapText="1"/>
    </xf>
    <xf numFmtId="165" fontId="22" fillId="0" borderId="1" xfId="0" applyNumberFormat="1" applyFont="1" applyBorder="1" applyAlignment="1">
      <alignment horizontal="center" vertical="top" wrapText="1"/>
    </xf>
    <xf numFmtId="0" fontId="22" fillId="0" borderId="1" xfId="0" applyFont="1" applyBorder="1" applyAlignment="1">
      <alignment horizontal="center" vertical="top" wrapText="1"/>
    </xf>
    <xf numFmtId="0" fontId="15" fillId="0" borderId="1" xfId="0" applyFont="1" applyBorder="1" applyAlignment="1">
      <alignment horizontal="center" vertical="center" wrapText="1"/>
    </xf>
    <xf numFmtId="167" fontId="36" fillId="3" borderId="7" xfId="1" applyNumberFormat="1" applyFont="1" applyFill="1" applyBorder="1" applyAlignment="1">
      <alignment horizontal="center" vertical="center" wrapText="1"/>
    </xf>
    <xf numFmtId="167" fontId="36" fillId="3" borderId="6" xfId="1" applyNumberFormat="1" applyFont="1" applyFill="1" applyBorder="1" applyAlignment="1">
      <alignment horizontal="center" vertical="center" wrapText="1"/>
    </xf>
    <xf numFmtId="167" fontId="36" fillId="3" borderId="8" xfId="1" applyNumberFormat="1" applyFont="1" applyFill="1" applyBorder="1" applyAlignment="1">
      <alignment horizontal="center" vertical="center" wrapText="1"/>
    </xf>
    <xf numFmtId="167" fontId="36" fillId="3" borderId="1" xfId="1" applyNumberFormat="1" applyFont="1" applyFill="1" applyBorder="1" applyAlignment="1">
      <alignment horizontal="center" vertical="center" wrapText="1"/>
    </xf>
    <xf numFmtId="167" fontId="36" fillId="8" borderId="1" xfId="1" applyNumberFormat="1" applyFont="1" applyFill="1" applyBorder="1" applyAlignment="1">
      <alignment horizontal="center" vertical="center" wrapText="1"/>
    </xf>
    <xf numFmtId="167" fontId="34" fillId="0" borderId="7" xfId="1" applyNumberFormat="1" applyFont="1" applyFill="1" applyBorder="1" applyAlignment="1">
      <alignment horizontal="center" vertical="center" wrapText="1"/>
    </xf>
    <xf numFmtId="167" fontId="34" fillId="0" borderId="6" xfId="1" applyNumberFormat="1" applyFont="1" applyFill="1" applyBorder="1" applyAlignment="1">
      <alignment horizontal="center" vertical="center" wrapText="1"/>
    </xf>
    <xf numFmtId="167" fontId="34" fillId="0" borderId="8" xfId="1" applyNumberFormat="1" applyFont="1" applyFill="1" applyBorder="1" applyAlignment="1">
      <alignment horizontal="center" vertical="center" wrapText="1"/>
    </xf>
    <xf numFmtId="167" fontId="34" fillId="0" borderId="1" xfId="1" applyNumberFormat="1" applyFont="1" applyFill="1" applyBorder="1" applyAlignment="1">
      <alignment horizontal="center" vertical="center" wrapText="1"/>
    </xf>
    <xf numFmtId="167" fontId="34" fillId="8" borderId="1" xfId="1"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164" fontId="24" fillId="3" borderId="1" xfId="0" applyNumberFormat="1" applyFont="1" applyFill="1" applyBorder="1" applyAlignment="1">
      <alignment horizontal="center" vertical="center" wrapText="1"/>
    </xf>
    <xf numFmtId="0" fontId="24" fillId="3" borderId="7" xfId="0" quotePrefix="1" applyFont="1" applyFill="1" applyBorder="1" applyAlignment="1">
      <alignment horizontal="center" vertical="center" wrapText="1"/>
    </xf>
    <xf numFmtId="0" fontId="24" fillId="3" borderId="6" xfId="0" quotePrefix="1" applyFont="1" applyFill="1" applyBorder="1" applyAlignment="1">
      <alignment horizontal="center" vertical="center" wrapText="1"/>
    </xf>
    <xf numFmtId="0" fontId="24" fillId="3" borderId="8" xfId="0" quotePrefix="1" applyFont="1" applyFill="1" applyBorder="1" applyAlignment="1">
      <alignment horizontal="center" vertical="center" wrapText="1"/>
    </xf>
    <xf numFmtId="0" fontId="36" fillId="3" borderId="2" xfId="0" applyFont="1" applyFill="1" applyBorder="1" applyAlignment="1">
      <alignment horizontal="center" vertical="center"/>
    </xf>
    <xf numFmtId="0" fontId="36" fillId="3" borderId="12" xfId="0" applyFont="1" applyFill="1" applyBorder="1" applyAlignment="1">
      <alignment horizontal="center" vertical="center"/>
    </xf>
    <xf numFmtId="0" fontId="24" fillId="3" borderId="7"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8" xfId="0" applyFont="1" applyFill="1" applyBorder="1" applyAlignment="1">
      <alignment horizontal="center" vertical="center" wrapText="1"/>
    </xf>
    <xf numFmtId="1" fontId="24" fillId="3" borderId="1" xfId="0" applyNumberFormat="1" applyFont="1" applyFill="1" applyBorder="1" applyAlignment="1">
      <alignment horizontal="center" vertical="center" wrapText="1"/>
    </xf>
    <xf numFmtId="0" fontId="24" fillId="8" borderId="1" xfId="0" applyFont="1" applyFill="1" applyBorder="1" applyAlignment="1">
      <alignment horizontal="center" vertical="center" wrapText="1"/>
    </xf>
    <xf numFmtId="167" fontId="35" fillId="3" borderId="1" xfId="1" applyNumberFormat="1" applyFont="1" applyFill="1" applyBorder="1" applyAlignment="1">
      <alignment horizontal="center" vertical="center" wrapText="1"/>
    </xf>
    <xf numFmtId="167" fontId="31" fillId="0" borderId="1" xfId="1" applyNumberFormat="1" applyFont="1" applyFill="1" applyBorder="1" applyAlignment="1">
      <alignment horizontal="center" vertical="center" wrapText="1"/>
    </xf>
    <xf numFmtId="167" fontId="18" fillId="9" borderId="0" xfId="1" applyNumberFormat="1" applyFont="1" applyFill="1" applyBorder="1" applyAlignment="1">
      <alignment horizontal="center" vertical="center" wrapText="1"/>
    </xf>
    <xf numFmtId="0" fontId="0" fillId="0" borderId="0" xfId="0"/>
    <xf numFmtId="169" fontId="32" fillId="0" borderId="0" xfId="0" applyNumberFormat="1" applyFont="1" applyAlignment="1">
      <alignment horizontal="left" vertical="top" wrapText="1"/>
    </xf>
    <xf numFmtId="0" fontId="25" fillId="0" borderId="0" xfId="0" applyFont="1" applyAlignment="1">
      <alignment horizontal="left" vertical="top" wrapText="1"/>
    </xf>
    <xf numFmtId="167" fontId="34" fillId="3" borderId="7" xfId="1" applyNumberFormat="1" applyFont="1" applyFill="1" applyBorder="1" applyAlignment="1">
      <alignment horizontal="center" vertical="center" wrapText="1"/>
    </xf>
    <xf numFmtId="167" fontId="34" fillId="3" borderId="6" xfId="1" applyNumberFormat="1" applyFont="1" applyFill="1" applyBorder="1" applyAlignment="1">
      <alignment horizontal="center" vertical="center" wrapText="1"/>
    </xf>
    <xf numFmtId="167" fontId="34" fillId="3" borderId="8" xfId="1" applyNumberFormat="1" applyFont="1" applyFill="1" applyBorder="1" applyAlignment="1">
      <alignment horizontal="center" vertical="center" wrapText="1"/>
    </xf>
    <xf numFmtId="167" fontId="34" fillId="3" borderId="1" xfId="1" applyNumberFormat="1" applyFont="1" applyFill="1" applyBorder="1" applyAlignment="1">
      <alignment horizontal="center" vertical="center" wrapText="1"/>
    </xf>
    <xf numFmtId="0" fontId="24" fillId="8" borderId="12" xfId="0" applyFont="1" applyFill="1" applyBorder="1" applyAlignment="1">
      <alignment horizontal="center" vertical="center" wrapText="1"/>
    </xf>
    <xf numFmtId="0" fontId="24" fillId="3" borderId="12" xfId="0" applyFont="1" applyFill="1" applyBorder="1" applyAlignment="1">
      <alignment horizontal="center" vertical="center" wrapText="1"/>
    </xf>
    <xf numFmtId="164" fontId="24" fillId="3" borderId="12" xfId="0" applyNumberFormat="1" applyFont="1" applyFill="1" applyBorder="1" applyAlignment="1">
      <alignment horizontal="center" vertical="center" wrapText="1"/>
    </xf>
    <xf numFmtId="0" fontId="24" fillId="3" borderId="9" xfId="0" quotePrefix="1" applyFont="1" applyFill="1" applyBorder="1" applyAlignment="1">
      <alignment horizontal="center" vertical="center" wrapText="1"/>
    </xf>
    <xf numFmtId="0" fontId="24" fillId="3" borderId="5" xfId="0" quotePrefix="1" applyFont="1" applyFill="1" applyBorder="1" applyAlignment="1">
      <alignment horizontal="center" vertical="center" wrapText="1"/>
    </xf>
    <xf numFmtId="0" fontId="24" fillId="3" borderId="10" xfId="0" quotePrefix="1" applyFont="1" applyFill="1" applyBorder="1" applyAlignment="1">
      <alignment horizontal="center" vertical="center" wrapText="1"/>
    </xf>
    <xf numFmtId="0" fontId="36" fillId="3" borderId="11" xfId="0" applyFont="1" applyFill="1" applyBorder="1" applyAlignment="1">
      <alignment horizontal="center" vertical="center"/>
    </xf>
    <xf numFmtId="167" fontId="18" fillId="9" borderId="2" xfId="1" applyNumberFormat="1" applyFont="1" applyFill="1" applyBorder="1" applyAlignment="1">
      <alignment horizontal="center" vertical="center" wrapText="1"/>
    </xf>
    <xf numFmtId="0" fontId="0" fillId="0" borderId="2" xfId="0" applyBorder="1"/>
    <xf numFmtId="169" fontId="32" fillId="0" borderId="2" xfId="0" applyNumberFormat="1" applyFont="1" applyBorder="1" applyAlignment="1">
      <alignment horizontal="left" vertical="top" wrapText="1"/>
    </xf>
    <xf numFmtId="0" fontId="25" fillId="0" borderId="2" xfId="0" applyFont="1" applyBorder="1" applyAlignment="1">
      <alignment horizontal="left" vertical="top" wrapText="1"/>
    </xf>
    <xf numFmtId="167" fontId="18" fillId="9" borderId="4" xfId="1" applyNumberFormat="1" applyFont="1" applyFill="1" applyBorder="1" applyAlignment="1">
      <alignment horizontal="center" vertical="center" wrapText="1"/>
    </xf>
    <xf numFmtId="0" fontId="0" fillId="0" borderId="4" xfId="0" applyBorder="1"/>
    <xf numFmtId="169" fontId="32" fillId="0" borderId="4" xfId="0" applyNumberFormat="1" applyFont="1" applyBorder="1" applyAlignment="1">
      <alignment horizontal="left" vertical="top" wrapText="1"/>
    </xf>
    <xf numFmtId="0" fontId="25" fillId="0" borderId="4" xfId="0" applyFont="1" applyBorder="1" applyAlignment="1">
      <alignment horizontal="left" vertical="top" wrapText="1"/>
    </xf>
    <xf numFmtId="0" fontId="36" fillId="8"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164" fontId="36" fillId="3" borderId="1" xfId="0" applyNumberFormat="1" applyFont="1" applyFill="1" applyBorder="1" applyAlignment="1">
      <alignment horizontal="center" vertical="center" wrapText="1"/>
    </xf>
    <xf numFmtId="0" fontId="36" fillId="3" borderId="7" xfId="0" applyFont="1" applyFill="1" applyBorder="1" applyAlignment="1">
      <alignment horizontal="center" vertical="center" wrapText="1"/>
    </xf>
    <xf numFmtId="0" fontId="36" fillId="3" borderId="6" xfId="0" applyFont="1" applyFill="1" applyBorder="1" applyAlignment="1">
      <alignment horizontal="center" vertical="center" wrapText="1"/>
    </xf>
    <xf numFmtId="0" fontId="36" fillId="3" borderId="8" xfId="0" applyFont="1" applyFill="1" applyBorder="1" applyAlignment="1">
      <alignment horizontal="center" vertical="center" wrapText="1"/>
    </xf>
    <xf numFmtId="1" fontId="36" fillId="3" borderId="1" xfId="0" applyNumberFormat="1" applyFont="1" applyFill="1" applyBorder="1" applyAlignment="1">
      <alignment horizontal="center" vertical="center" wrapText="1"/>
    </xf>
    <xf numFmtId="171" fontId="34" fillId="3" borderId="7" xfId="1" applyNumberFormat="1" applyFont="1" applyFill="1" applyBorder="1" applyAlignment="1">
      <alignment horizontal="center" vertical="center" wrapText="1"/>
    </xf>
    <xf numFmtId="171" fontId="34" fillId="3" borderId="6" xfId="1" applyNumberFormat="1" applyFont="1" applyFill="1" applyBorder="1" applyAlignment="1">
      <alignment horizontal="center" vertical="center" wrapText="1"/>
    </xf>
    <xf numFmtId="171" fontId="34" fillId="3" borderId="8" xfId="1" applyNumberFormat="1" applyFont="1" applyFill="1" applyBorder="1" applyAlignment="1">
      <alignment horizontal="center" vertical="center" wrapText="1"/>
    </xf>
    <xf numFmtId="171" fontId="34" fillId="3" borderId="1" xfId="1" applyNumberFormat="1" applyFont="1" applyFill="1" applyBorder="1" applyAlignment="1">
      <alignment horizontal="center" vertical="center" wrapText="1"/>
    </xf>
    <xf numFmtId="171" fontId="34" fillId="8" borderId="1" xfId="1" applyNumberFormat="1" applyFont="1" applyFill="1" applyBorder="1" applyAlignment="1">
      <alignment horizontal="center" vertical="center" wrapText="1"/>
    </xf>
    <xf numFmtId="171" fontId="34" fillId="0" borderId="7" xfId="1" applyNumberFormat="1" applyFont="1" applyFill="1" applyBorder="1" applyAlignment="1">
      <alignment horizontal="center" vertical="center" wrapText="1"/>
    </xf>
    <xf numFmtId="171" fontId="34" fillId="0" borderId="6" xfId="1" applyNumberFormat="1" applyFont="1" applyFill="1" applyBorder="1" applyAlignment="1">
      <alignment horizontal="center" vertical="center" wrapText="1"/>
    </xf>
    <xf numFmtId="171" fontId="34" fillId="0" borderId="8" xfId="1" applyNumberFormat="1" applyFont="1" applyFill="1" applyBorder="1" applyAlignment="1">
      <alignment horizontal="center" vertical="center" wrapText="1"/>
    </xf>
    <xf numFmtId="171" fontId="34" fillId="0" borderId="1" xfId="1" applyNumberFormat="1" applyFont="1" applyFill="1" applyBorder="1" applyAlignment="1">
      <alignment horizontal="center" vertical="center" wrapText="1"/>
    </xf>
    <xf numFmtId="167" fontId="72" fillId="3" borderId="1" xfId="1" applyNumberFormat="1" applyFont="1" applyFill="1" applyBorder="1" applyAlignment="1">
      <alignment horizontal="center" vertical="center" wrapText="1"/>
    </xf>
    <xf numFmtId="0" fontId="36" fillId="3" borderId="7" xfId="0" quotePrefix="1" applyFont="1" applyFill="1" applyBorder="1" applyAlignment="1">
      <alignment horizontal="center" vertical="center" wrapText="1"/>
    </xf>
    <xf numFmtId="0" fontId="36" fillId="3" borderId="6" xfId="0" quotePrefix="1" applyFont="1" applyFill="1" applyBorder="1" applyAlignment="1">
      <alignment horizontal="center" vertical="center" wrapText="1"/>
    </xf>
    <xf numFmtId="0" fontId="36" fillId="3" borderId="8" xfId="0" quotePrefix="1" applyFont="1" applyFill="1" applyBorder="1" applyAlignment="1">
      <alignment horizontal="center" vertical="center" wrapText="1"/>
    </xf>
    <xf numFmtId="0" fontId="21" fillId="0" borderId="7" xfId="0" applyFont="1" applyBorder="1" applyAlignment="1">
      <alignment horizontal="left" vertical="center" wrapText="1"/>
    </xf>
    <xf numFmtId="0" fontId="21" fillId="0" borderId="6" xfId="0" applyFont="1" applyBorder="1" applyAlignment="1">
      <alignment horizontal="left" vertical="center" wrapText="1"/>
    </xf>
    <xf numFmtId="0" fontId="21" fillId="0" borderId="8" xfId="0" applyFont="1" applyBorder="1" applyAlignment="1">
      <alignment horizontal="left" vertical="center" wrapText="1"/>
    </xf>
    <xf numFmtId="165" fontId="11"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165" fontId="15" fillId="7" borderId="1" xfId="0" applyNumberFormat="1" applyFont="1" applyFill="1" applyBorder="1" applyAlignment="1">
      <alignment horizontal="center" vertical="center" wrapText="1"/>
    </xf>
    <xf numFmtId="0" fontId="15" fillId="7" borderId="1" xfId="0" applyFont="1" applyFill="1" applyBorder="1" applyAlignment="1">
      <alignment horizontal="center" vertical="center" wrapText="1"/>
    </xf>
    <xf numFmtId="0" fontId="11" fillId="0" borderId="4" xfId="0" applyFont="1" applyBorder="1" applyAlignment="1">
      <alignment horizontal="center" vertical="top" wrapText="1"/>
    </xf>
    <xf numFmtId="164" fontId="11" fillId="0" borderId="0" xfId="0" applyNumberFormat="1" applyFont="1" applyAlignment="1">
      <alignment horizontal="center" vertical="center" wrapText="1"/>
    </xf>
    <xf numFmtId="0" fontId="74" fillId="14" borderId="0" xfId="0" applyFont="1" applyFill="1" applyAlignment="1">
      <alignment horizontal="center" vertical="top"/>
    </xf>
    <xf numFmtId="0" fontId="64" fillId="0" borderId="0" xfId="0" applyFont="1" applyAlignment="1">
      <alignment horizontal="left" vertical="top" wrapText="1"/>
    </xf>
    <xf numFmtId="0" fontId="11" fillId="0" borderId="7" xfId="0" applyFont="1" applyBorder="1" applyAlignment="1">
      <alignment horizontal="left" vertical="top" wrapText="1"/>
    </xf>
    <xf numFmtId="0" fontId="11" fillId="0" borderId="6" xfId="0" applyFont="1" applyBorder="1" applyAlignment="1">
      <alignment horizontal="left" vertical="top" wrapText="1"/>
    </xf>
    <xf numFmtId="0" fontId="11" fillId="0" borderId="8" xfId="0" applyFont="1" applyBorder="1" applyAlignment="1">
      <alignment horizontal="left" vertical="top" wrapText="1"/>
    </xf>
    <xf numFmtId="167" fontId="11" fillId="0" borderId="8" xfId="1" applyNumberFormat="1" applyFont="1" applyBorder="1" applyAlignment="1">
      <alignment horizontal="center" vertical="center" wrapText="1"/>
    </xf>
    <xf numFmtId="0" fontId="11" fillId="7" borderId="7" xfId="0" applyFont="1" applyFill="1" applyBorder="1" applyAlignment="1">
      <alignment horizontal="center" vertical="top" wrapText="1"/>
    </xf>
    <xf numFmtId="0" fontId="11" fillId="7" borderId="6" xfId="0" applyFont="1" applyFill="1" applyBorder="1" applyAlignment="1">
      <alignment horizontal="center" vertical="top" wrapText="1"/>
    </xf>
    <xf numFmtId="0" fontId="11" fillId="7" borderId="8" xfId="0" applyFont="1" applyFill="1" applyBorder="1" applyAlignment="1">
      <alignment horizontal="center" vertical="top" wrapText="1"/>
    </xf>
    <xf numFmtId="167" fontId="11" fillId="7" borderId="7" xfId="1" applyNumberFormat="1" applyFont="1" applyFill="1" applyBorder="1" applyAlignment="1">
      <alignment horizontal="center" vertical="center" wrapText="1"/>
    </xf>
    <xf numFmtId="167" fontId="11" fillId="7" borderId="6" xfId="1" applyNumberFormat="1" applyFont="1" applyFill="1" applyBorder="1" applyAlignment="1">
      <alignment horizontal="center" vertical="center" wrapText="1"/>
    </xf>
    <xf numFmtId="167" fontId="11" fillId="7" borderId="8" xfId="1" applyNumberFormat="1" applyFont="1" applyFill="1" applyBorder="1" applyAlignment="1">
      <alignment horizontal="center" vertical="center" wrapText="1"/>
    </xf>
    <xf numFmtId="0" fontId="11" fillId="0" borderId="5" xfId="0" applyFont="1" applyBorder="1" applyAlignment="1">
      <alignment horizontal="left" vertical="top" wrapText="1"/>
    </xf>
    <xf numFmtId="0" fontId="11" fillId="3" borderId="7" xfId="0" applyFont="1" applyFill="1" applyBorder="1" applyAlignment="1">
      <alignment horizontal="center" vertical="top" wrapText="1"/>
    </xf>
    <xf numFmtId="0" fontId="11" fillId="3" borderId="6" xfId="0" applyFont="1" applyFill="1" applyBorder="1" applyAlignment="1">
      <alignment horizontal="center" vertical="top" wrapText="1"/>
    </xf>
    <xf numFmtId="0" fontId="11" fillId="3" borderId="8" xfId="0" applyFont="1" applyFill="1" applyBorder="1" applyAlignment="1">
      <alignment horizontal="center" vertical="top" wrapText="1"/>
    </xf>
    <xf numFmtId="0" fontId="8" fillId="0" borderId="0" xfId="0" applyFont="1" applyAlignment="1">
      <alignment horizontal="left" vertical="center" wrapText="1"/>
    </xf>
    <xf numFmtId="0" fontId="8" fillId="0" borderId="4" xfId="0" applyFont="1" applyBorder="1" applyAlignment="1">
      <alignment horizontal="left" vertical="center" wrapText="1"/>
    </xf>
    <xf numFmtId="0" fontId="8" fillId="0" borderId="0" xfId="0" quotePrefix="1" applyFont="1" applyAlignment="1">
      <alignment horizontal="left" vertical="center" wrapText="1"/>
    </xf>
    <xf numFmtId="0" fontId="8" fillId="0" borderId="0" xfId="0" applyFont="1" applyAlignment="1">
      <alignment horizontal="center" vertical="center" wrapText="1"/>
    </xf>
    <xf numFmtId="0" fontId="11" fillId="0" borderId="4" xfId="0" applyFont="1" applyBorder="1" applyAlignment="1">
      <alignment horizontal="left" vertical="top" wrapText="1"/>
    </xf>
    <xf numFmtId="0" fontId="73" fillId="0" borderId="0" xfId="0" applyFont="1" applyAlignment="1">
      <alignment horizontal="left" vertical="top" wrapText="1"/>
    </xf>
    <xf numFmtId="167" fontId="31" fillId="3" borderId="7" xfId="1" applyNumberFormat="1" applyFont="1" applyFill="1" applyBorder="1" applyAlignment="1">
      <alignment horizontal="center" vertical="center" wrapText="1"/>
    </xf>
    <xf numFmtId="167" fontId="31" fillId="3" borderId="6" xfId="1" applyNumberFormat="1" applyFont="1" applyFill="1" applyBorder="1" applyAlignment="1">
      <alignment horizontal="center" vertical="center" wrapText="1"/>
    </xf>
    <xf numFmtId="167" fontId="31" fillId="3" borderId="8" xfId="1" applyNumberFormat="1" applyFont="1" applyFill="1" applyBorder="1" applyAlignment="1">
      <alignment horizontal="center" vertical="center" wrapText="1"/>
    </xf>
    <xf numFmtId="167" fontId="31" fillId="3" borderId="1" xfId="1" applyNumberFormat="1" applyFont="1" applyFill="1" applyBorder="1" applyAlignment="1">
      <alignment horizontal="center" vertical="center" wrapText="1"/>
    </xf>
    <xf numFmtId="167" fontId="31" fillId="8" borderId="1" xfId="1" applyNumberFormat="1" applyFont="1" applyFill="1" applyBorder="1" applyAlignment="1">
      <alignment horizontal="center" vertical="center" wrapText="1"/>
    </xf>
    <xf numFmtId="164" fontId="35" fillId="8" borderId="1" xfId="0" applyNumberFormat="1" applyFont="1" applyFill="1" applyBorder="1" applyAlignment="1">
      <alignment horizontal="center" vertical="center" wrapText="1"/>
    </xf>
    <xf numFmtId="164" fontId="35" fillId="7" borderId="1" xfId="0" applyNumberFormat="1" applyFont="1" applyFill="1" applyBorder="1" applyAlignment="1">
      <alignment horizontal="center" vertical="center" wrapText="1"/>
    </xf>
    <xf numFmtId="0" fontId="21" fillId="0" borderId="7" xfId="0" applyFont="1" applyBorder="1" applyAlignment="1">
      <alignment horizontal="left" vertical="top" wrapText="1"/>
    </xf>
    <xf numFmtId="0" fontId="21" fillId="0" borderId="6" xfId="0" applyFont="1" applyBorder="1" applyAlignment="1">
      <alignment horizontal="left" vertical="top" wrapText="1"/>
    </xf>
    <xf numFmtId="0" fontId="21" fillId="0" borderId="8" xfId="0" applyFont="1" applyBorder="1" applyAlignment="1">
      <alignment horizontal="left" vertical="top" wrapText="1"/>
    </xf>
    <xf numFmtId="165" fontId="31" fillId="8" borderId="1" xfId="2" applyNumberFormat="1" applyFont="1" applyFill="1" applyBorder="1" applyAlignment="1">
      <alignment horizontal="center" vertical="center" wrapText="1"/>
    </xf>
    <xf numFmtId="165" fontId="31" fillId="0" borderId="1" xfId="2" applyNumberFormat="1" applyFont="1" applyBorder="1" applyAlignment="1">
      <alignment horizontal="center" vertical="center" wrapText="1"/>
    </xf>
    <xf numFmtId="0" fontId="15" fillId="8" borderId="1" xfId="0" applyFont="1" applyFill="1" applyBorder="1" applyAlignment="1">
      <alignment horizontal="center" vertical="center" wrapText="1"/>
    </xf>
    <xf numFmtId="164" fontId="11" fillId="0" borderId="4" xfId="0" applyNumberFormat="1" applyFont="1" applyBorder="1" applyAlignment="1">
      <alignment horizontal="center" vertical="top" wrapText="1"/>
    </xf>
    <xf numFmtId="167" fontId="34" fillId="3" borderId="2" xfId="1" applyNumberFormat="1" applyFont="1" applyFill="1" applyBorder="1" applyAlignment="1">
      <alignment horizontal="center" vertical="center" wrapText="1"/>
    </xf>
    <xf numFmtId="167" fontId="34" fillId="8" borderId="2" xfId="1" applyNumberFormat="1" applyFont="1" applyFill="1" applyBorder="1" applyAlignment="1">
      <alignment horizontal="center" vertical="center" wrapText="1"/>
    </xf>
    <xf numFmtId="167" fontId="31" fillId="8" borderId="7" xfId="1" applyNumberFormat="1" applyFont="1" applyFill="1" applyBorder="1" applyAlignment="1">
      <alignment horizontal="center" vertical="center" wrapText="1"/>
    </xf>
    <xf numFmtId="167" fontId="31" fillId="8" borderId="6" xfId="1" applyNumberFormat="1" applyFont="1" applyFill="1" applyBorder="1" applyAlignment="1">
      <alignment horizontal="center" vertical="center" wrapText="1"/>
    </xf>
    <xf numFmtId="167" fontId="31" fillId="8" borderId="8" xfId="1" applyNumberFormat="1" applyFont="1" applyFill="1" applyBorder="1" applyAlignment="1">
      <alignment horizontal="center" vertical="center" wrapText="1"/>
    </xf>
    <xf numFmtId="0" fontId="8" fillId="0" borderId="4" xfId="0" applyFont="1" applyBorder="1" applyAlignment="1">
      <alignment horizontal="justify" vertical="top" wrapText="1"/>
    </xf>
    <xf numFmtId="0" fontId="36" fillId="3" borderId="3" xfId="0" applyFont="1" applyFill="1" applyBorder="1" applyAlignment="1">
      <alignment horizontal="center" vertical="center"/>
    </xf>
    <xf numFmtId="0" fontId="36" fillId="3" borderId="9" xfId="0" applyFont="1" applyFill="1" applyBorder="1" applyAlignment="1">
      <alignment horizontal="center" vertical="center" wrapText="1"/>
    </xf>
    <xf numFmtId="0" fontId="36" fillId="3" borderId="5" xfId="0" applyFont="1" applyFill="1" applyBorder="1" applyAlignment="1">
      <alignment horizontal="center" vertical="center" wrapText="1"/>
    </xf>
    <xf numFmtId="0" fontId="36" fillId="3" borderId="10" xfId="0" applyFont="1" applyFill="1" applyBorder="1" applyAlignment="1">
      <alignment horizontal="center" vertical="center" wrapText="1"/>
    </xf>
    <xf numFmtId="1" fontId="36" fillId="3" borderId="12" xfId="0" applyNumberFormat="1" applyFont="1" applyFill="1" applyBorder="1" applyAlignment="1">
      <alignment horizontal="center" vertical="center" wrapText="1"/>
    </xf>
    <xf numFmtId="0" fontId="36" fillId="3" borderId="12" xfId="0" applyFont="1" applyFill="1" applyBorder="1" applyAlignment="1">
      <alignment horizontal="center" vertical="center" wrapText="1"/>
    </xf>
    <xf numFmtId="171" fontId="31" fillId="3" borderId="7" xfId="1" applyNumberFormat="1" applyFont="1" applyFill="1" applyBorder="1" applyAlignment="1">
      <alignment horizontal="center" vertical="center" wrapText="1"/>
    </xf>
    <xf numFmtId="171" fontId="31" fillId="3" borderId="6" xfId="1" applyNumberFormat="1" applyFont="1" applyFill="1" applyBorder="1" applyAlignment="1">
      <alignment horizontal="center" vertical="center" wrapText="1"/>
    </xf>
    <xf numFmtId="171" fontId="31" fillId="3" borderId="8" xfId="1" applyNumberFormat="1" applyFont="1" applyFill="1" applyBorder="1" applyAlignment="1">
      <alignment horizontal="center" vertical="center" wrapText="1"/>
    </xf>
    <xf numFmtId="171" fontId="31" fillId="8" borderId="7" xfId="1" applyNumberFormat="1" applyFont="1" applyFill="1" applyBorder="1" applyAlignment="1">
      <alignment horizontal="center" vertical="center" wrapText="1"/>
    </xf>
    <xf numFmtId="171" fontId="31" fillId="8" borderId="6" xfId="1" applyNumberFormat="1" applyFont="1" applyFill="1" applyBorder="1" applyAlignment="1">
      <alignment horizontal="center" vertical="center" wrapText="1"/>
    </xf>
    <xf numFmtId="171" fontId="31" fillId="8" borderId="8" xfId="1" applyNumberFormat="1" applyFont="1" applyFill="1" applyBorder="1" applyAlignment="1">
      <alignment horizontal="center" vertical="center" wrapText="1"/>
    </xf>
    <xf numFmtId="167" fontId="34" fillId="8" borderId="7" xfId="1" applyNumberFormat="1" applyFont="1" applyFill="1" applyBorder="1" applyAlignment="1">
      <alignment horizontal="center" vertical="center" wrapText="1"/>
    </xf>
    <xf numFmtId="167" fontId="34" fillId="8" borderId="6" xfId="1" applyNumberFormat="1" applyFont="1" applyFill="1" applyBorder="1" applyAlignment="1">
      <alignment horizontal="center" vertical="center" wrapText="1"/>
    </xf>
    <xf numFmtId="167" fontId="34" fillId="8" borderId="8" xfId="1" applyNumberFormat="1" applyFont="1" applyFill="1" applyBorder="1" applyAlignment="1">
      <alignment horizontal="center" vertical="center" wrapText="1"/>
    </xf>
    <xf numFmtId="164" fontId="36" fillId="3" borderId="1" xfId="0" quotePrefix="1" applyNumberFormat="1" applyFont="1" applyFill="1" applyBorder="1" applyAlignment="1">
      <alignment horizontal="center" vertical="center" wrapText="1"/>
    </xf>
    <xf numFmtId="171" fontId="34" fillId="8" borderId="7" xfId="1" applyNumberFormat="1" applyFont="1" applyFill="1" applyBorder="1" applyAlignment="1">
      <alignment horizontal="center" vertical="center" wrapText="1"/>
    </xf>
    <xf numFmtId="171" fontId="34" fillId="8" borderId="6" xfId="1" applyNumberFormat="1" applyFont="1" applyFill="1" applyBorder="1" applyAlignment="1">
      <alignment horizontal="center" vertical="center" wrapText="1"/>
    </xf>
    <xf numFmtId="171" fontId="34" fillId="8" borderId="8" xfId="1" applyNumberFormat="1" applyFont="1" applyFill="1" applyBorder="1" applyAlignment="1">
      <alignment horizontal="center" vertical="center" wrapText="1"/>
    </xf>
    <xf numFmtId="167" fontId="31" fillId="3" borderId="2" xfId="1" applyNumberFormat="1" applyFont="1" applyFill="1" applyBorder="1" applyAlignment="1">
      <alignment horizontal="center" vertical="center" wrapText="1"/>
    </xf>
    <xf numFmtId="167" fontId="31" fillId="8" borderId="2" xfId="1" applyNumberFormat="1" applyFont="1" applyFill="1" applyBorder="1" applyAlignment="1">
      <alignment horizontal="center" vertical="center" wrapText="1"/>
    </xf>
    <xf numFmtId="167" fontId="22" fillId="7" borderId="7" xfId="1" applyNumberFormat="1" applyFont="1" applyFill="1" applyBorder="1" applyAlignment="1">
      <alignment horizontal="center" vertical="center" wrapText="1"/>
    </xf>
    <xf numFmtId="167" fontId="22" fillId="7" borderId="6" xfId="1" applyNumberFormat="1" applyFont="1" applyFill="1" applyBorder="1" applyAlignment="1">
      <alignment horizontal="center" vertical="center" wrapText="1"/>
    </xf>
    <xf numFmtId="167" fontId="22" fillId="7" borderId="8" xfId="1" applyNumberFormat="1" applyFont="1" applyFill="1" applyBorder="1" applyAlignment="1">
      <alignment horizontal="center" vertical="center" wrapText="1"/>
    </xf>
    <xf numFmtId="0" fontId="9" fillId="0" borderId="0" xfId="0" applyFont="1" applyAlignment="1">
      <alignment horizontal="center" vertical="top"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167" fontId="22" fillId="0" borderId="7" xfId="1" applyNumberFormat="1" applyFont="1" applyBorder="1" applyAlignment="1">
      <alignment horizontal="center" vertical="center" wrapText="1"/>
    </xf>
    <xf numFmtId="167" fontId="22" fillId="0" borderId="6" xfId="1" applyNumberFormat="1" applyFont="1" applyBorder="1" applyAlignment="1">
      <alignment horizontal="center" vertical="center" wrapText="1"/>
    </xf>
    <xf numFmtId="167" fontId="22" fillId="0" borderId="8" xfId="1" applyNumberFormat="1" applyFont="1" applyBorder="1" applyAlignment="1">
      <alignment horizontal="center" vertical="center" wrapText="1"/>
    </xf>
    <xf numFmtId="0" fontId="11" fillId="0" borderId="5" xfId="0" applyFont="1" applyBorder="1" applyAlignment="1">
      <alignment horizontal="justify"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172" fontId="31" fillId="3" borderId="7" xfId="1" applyNumberFormat="1" applyFont="1" applyFill="1" applyBorder="1" applyAlignment="1">
      <alignment horizontal="center" vertical="center" wrapText="1"/>
    </xf>
    <xf numFmtId="172" fontId="31" fillId="3" borderId="6" xfId="1" applyNumberFormat="1" applyFont="1" applyFill="1" applyBorder="1" applyAlignment="1">
      <alignment horizontal="center" vertical="center" wrapText="1"/>
    </xf>
    <xf numFmtId="172" fontId="31" fillId="3" borderId="8" xfId="1" applyNumberFormat="1" applyFont="1" applyFill="1" applyBorder="1" applyAlignment="1">
      <alignment horizontal="center" vertical="center" wrapText="1"/>
    </xf>
    <xf numFmtId="172" fontId="31" fillId="8" borderId="7" xfId="1" applyNumberFormat="1" applyFont="1" applyFill="1" applyBorder="1" applyAlignment="1">
      <alignment horizontal="center" vertical="center" wrapText="1"/>
    </xf>
    <xf numFmtId="172" fontId="31" fillId="8" borderId="6" xfId="1" applyNumberFormat="1" applyFont="1" applyFill="1" applyBorder="1" applyAlignment="1">
      <alignment horizontal="center" vertical="center" wrapText="1"/>
    </xf>
    <xf numFmtId="172" fontId="31" fillId="8" borderId="8" xfId="1" applyNumberFormat="1" applyFont="1" applyFill="1" applyBorder="1" applyAlignment="1">
      <alignment horizontal="center" vertical="center" wrapText="1"/>
    </xf>
    <xf numFmtId="0" fontId="36" fillId="3" borderId="7" xfId="1" quotePrefix="1" applyNumberFormat="1" applyFont="1" applyFill="1" applyBorder="1" applyAlignment="1">
      <alignment horizontal="center" vertical="center" wrapText="1"/>
    </xf>
    <xf numFmtId="0" fontId="36" fillId="3" borderId="6" xfId="1" applyNumberFormat="1" applyFont="1" applyFill="1" applyBorder="1" applyAlignment="1">
      <alignment horizontal="center" vertical="center" wrapText="1"/>
    </xf>
    <xf numFmtId="0" fontId="36" fillId="3" borderId="8" xfId="1" applyNumberFormat="1" applyFont="1" applyFill="1" applyBorder="1" applyAlignment="1">
      <alignment horizontal="center" vertical="center" wrapText="1"/>
    </xf>
    <xf numFmtId="167" fontId="72" fillId="3" borderId="7" xfId="1" applyNumberFormat="1" applyFont="1" applyFill="1" applyBorder="1" applyAlignment="1">
      <alignment horizontal="center" vertical="center" wrapText="1"/>
    </xf>
    <xf numFmtId="167" fontId="72" fillId="3" borderId="6" xfId="1" applyNumberFormat="1" applyFont="1" applyFill="1" applyBorder="1" applyAlignment="1">
      <alignment horizontal="center" vertical="center" wrapText="1"/>
    </xf>
    <xf numFmtId="167" fontId="72" fillId="3" borderId="8" xfId="1" applyNumberFormat="1" applyFont="1" applyFill="1" applyBorder="1" applyAlignment="1">
      <alignment horizontal="center" vertical="center" wrapText="1"/>
    </xf>
    <xf numFmtId="167" fontId="72" fillId="8" borderId="7" xfId="1" applyNumberFormat="1" applyFont="1" applyFill="1" applyBorder="1" applyAlignment="1">
      <alignment horizontal="center" vertical="center" wrapText="1"/>
    </xf>
    <xf numFmtId="167" fontId="72" fillId="8" borderId="6" xfId="1" applyNumberFormat="1" applyFont="1" applyFill="1" applyBorder="1" applyAlignment="1">
      <alignment horizontal="center" vertical="center" wrapText="1"/>
    </xf>
    <xf numFmtId="167" fontId="72" fillId="8" borderId="8" xfId="1" applyNumberFormat="1" applyFont="1" applyFill="1" applyBorder="1" applyAlignment="1">
      <alignment horizontal="center" vertical="center" wrapText="1"/>
    </xf>
    <xf numFmtId="164" fontId="36" fillId="3" borderId="7" xfId="0" applyNumberFormat="1" applyFont="1" applyFill="1" applyBorder="1" applyAlignment="1">
      <alignment horizontal="center" vertical="center" wrapText="1"/>
    </xf>
    <xf numFmtId="164" fontId="36" fillId="3" borderId="6" xfId="0" applyNumberFormat="1" applyFont="1" applyFill="1" applyBorder="1" applyAlignment="1">
      <alignment horizontal="center" vertical="center" wrapText="1"/>
    </xf>
    <xf numFmtId="164" fontId="36" fillId="3" borderId="8" xfId="0" applyNumberFormat="1" applyFont="1" applyFill="1" applyBorder="1" applyAlignment="1">
      <alignment horizontal="center" vertical="center" wrapText="1"/>
    </xf>
    <xf numFmtId="0" fontId="36" fillId="8" borderId="7" xfId="0" applyFont="1" applyFill="1" applyBorder="1" applyAlignment="1">
      <alignment horizontal="center" vertical="center" wrapText="1"/>
    </xf>
    <xf numFmtId="0" fontId="36" fillId="8" borderId="6" xfId="0" applyFont="1" applyFill="1" applyBorder="1" applyAlignment="1">
      <alignment horizontal="center" vertical="center" wrapText="1"/>
    </xf>
    <xf numFmtId="0" fontId="36" fillId="8" borderId="8" xfId="0" applyFont="1" applyFill="1" applyBorder="1" applyAlignment="1">
      <alignment horizontal="center" vertical="center" wrapText="1"/>
    </xf>
    <xf numFmtId="164" fontId="11" fillId="0" borderId="0" xfId="0" applyNumberFormat="1" applyFont="1" applyAlignment="1">
      <alignment horizontal="center" vertical="top" wrapText="1"/>
    </xf>
    <xf numFmtId="164" fontId="36" fillId="3" borderId="7" xfId="0" quotePrefix="1" applyNumberFormat="1" applyFont="1" applyFill="1" applyBorder="1" applyAlignment="1">
      <alignment horizontal="center" vertical="center" wrapText="1"/>
    </xf>
    <xf numFmtId="164" fontId="36" fillId="3" borderId="6" xfId="0" quotePrefix="1" applyNumberFormat="1" applyFont="1" applyFill="1" applyBorder="1" applyAlignment="1">
      <alignment horizontal="center" vertical="center" wrapText="1"/>
    </xf>
    <xf numFmtId="164" fontId="36" fillId="3" borderId="8" xfId="0" quotePrefix="1" applyNumberFormat="1" applyFont="1" applyFill="1" applyBorder="1" applyAlignment="1">
      <alignment horizontal="center" vertical="center" wrapText="1"/>
    </xf>
    <xf numFmtId="0" fontId="36" fillId="3" borderId="1" xfId="0" quotePrefix="1" applyFont="1" applyFill="1" applyBorder="1" applyAlignment="1">
      <alignment horizontal="center" vertical="center" wrapText="1"/>
    </xf>
    <xf numFmtId="167" fontId="72" fillId="3" borderId="2" xfId="1" applyNumberFormat="1" applyFont="1" applyFill="1" applyBorder="1" applyAlignment="1">
      <alignment horizontal="center" vertical="center" wrapText="1"/>
    </xf>
    <xf numFmtId="167" fontId="34" fillId="0" borderId="7" xfId="1" applyNumberFormat="1" applyFont="1" applyBorder="1" applyAlignment="1">
      <alignment horizontal="center" vertical="center" wrapText="1"/>
    </xf>
    <xf numFmtId="167" fontId="34" fillId="0" borderId="6" xfId="1" applyNumberFormat="1" applyFont="1" applyBorder="1" applyAlignment="1">
      <alignment horizontal="center" vertical="center" wrapText="1"/>
    </xf>
    <xf numFmtId="167" fontId="34" fillId="0" borderId="8" xfId="1" applyNumberFormat="1" applyFont="1" applyBorder="1" applyAlignment="1">
      <alignment horizontal="center" vertical="center" wrapText="1"/>
    </xf>
    <xf numFmtId="0" fontId="15" fillId="7" borderId="9" xfId="0" applyFont="1" applyFill="1" applyBorder="1" applyAlignment="1">
      <alignment horizontal="center" vertical="top" wrapText="1"/>
    </xf>
    <xf numFmtId="0" fontId="15" fillId="7" borderId="5" xfId="0" applyFont="1" applyFill="1" applyBorder="1" applyAlignment="1">
      <alignment horizontal="center" vertical="top" wrapText="1"/>
    </xf>
    <xf numFmtId="0" fontId="15" fillId="7" borderId="10" xfId="0" applyFont="1" applyFill="1" applyBorder="1" applyAlignment="1">
      <alignment horizontal="center" vertical="top" wrapText="1"/>
    </xf>
    <xf numFmtId="167" fontId="36" fillId="7" borderId="7" xfId="1" applyNumberFormat="1" applyFont="1" applyFill="1" applyBorder="1" applyAlignment="1">
      <alignment horizontal="center" vertical="center" wrapText="1"/>
    </xf>
    <xf numFmtId="167" fontId="36" fillId="7" borderId="6" xfId="1" applyNumberFormat="1" applyFont="1" applyFill="1" applyBorder="1" applyAlignment="1">
      <alignment horizontal="center" vertical="center" wrapText="1"/>
    </xf>
    <xf numFmtId="167" fontId="36" fillId="7" borderId="8" xfId="1" applyNumberFormat="1" applyFont="1" applyFill="1" applyBorder="1" applyAlignment="1">
      <alignment horizontal="center" vertical="center" wrapText="1"/>
    </xf>
    <xf numFmtId="0" fontId="11" fillId="0" borderId="0" xfId="0" applyFont="1" applyAlignment="1">
      <alignment horizontal="justify" wrapText="1"/>
    </xf>
    <xf numFmtId="0" fontId="16" fillId="0" borderId="0" xfId="0" applyFont="1" applyAlignment="1">
      <alignment horizontal="left" vertical="top" wrapText="1"/>
    </xf>
    <xf numFmtId="0" fontId="8" fillId="0" borderId="0" xfId="0" applyFont="1" applyAlignment="1">
      <alignment horizontal="left" wrapText="1"/>
    </xf>
    <xf numFmtId="0" fontId="24" fillId="3" borderId="7" xfId="1" applyNumberFormat="1" applyFont="1" applyFill="1" applyBorder="1" applyAlignment="1">
      <alignment horizontal="center" vertical="center" wrapText="1"/>
    </xf>
    <xf numFmtId="0" fontId="24" fillId="3" borderId="6" xfId="1" applyNumberFormat="1" applyFont="1" applyFill="1" applyBorder="1" applyAlignment="1">
      <alignment horizontal="center" vertical="center" wrapText="1"/>
    </xf>
    <xf numFmtId="0" fontId="24" fillId="3" borderId="8" xfId="1" applyNumberFormat="1" applyFont="1" applyFill="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33" fillId="0" borderId="7" xfId="0" applyFont="1" applyBorder="1" applyAlignment="1">
      <alignment horizontal="left" vertical="center" wrapText="1"/>
    </xf>
    <xf numFmtId="0" fontId="33"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71" fillId="0" borderId="13" xfId="0" applyFont="1" applyBorder="1" applyAlignment="1">
      <alignment horizontal="center" vertical="top"/>
    </xf>
    <xf numFmtId="0" fontId="71" fillId="0" borderId="0" xfId="0" applyFont="1" applyAlignment="1">
      <alignment horizontal="center" vertical="top"/>
    </xf>
    <xf numFmtId="167" fontId="34" fillId="7" borderId="7" xfId="1" applyNumberFormat="1" applyFont="1" applyFill="1" applyBorder="1" applyAlignment="1">
      <alignment horizontal="center" vertical="center" wrapText="1"/>
    </xf>
    <xf numFmtId="167" fontId="34" fillId="7" borderId="6" xfId="1" applyNumberFormat="1" applyFont="1" applyFill="1" applyBorder="1" applyAlignment="1">
      <alignment horizontal="center" vertical="center" wrapText="1"/>
    </xf>
    <xf numFmtId="167" fontId="34" fillId="7" borderId="8" xfId="1" applyNumberFormat="1" applyFont="1" applyFill="1" applyBorder="1" applyAlignment="1">
      <alignment horizontal="center" vertical="center" wrapText="1"/>
    </xf>
    <xf numFmtId="0" fontId="70" fillId="0" borderId="7" xfId="0" applyFont="1" applyBorder="1" applyAlignment="1">
      <alignment horizontal="left" vertical="center" wrapText="1"/>
    </xf>
    <xf numFmtId="0" fontId="70" fillId="0" borderId="6" xfId="0" applyFont="1" applyBorder="1" applyAlignment="1">
      <alignment horizontal="left" vertical="center" wrapText="1"/>
    </xf>
    <xf numFmtId="0" fontId="0" fillId="0" borderId="6" xfId="0" applyBorder="1" applyAlignment="1">
      <alignment horizontal="center" vertical="top" wrapText="1"/>
    </xf>
    <xf numFmtId="0" fontId="0" fillId="0" borderId="8" xfId="0" applyBorder="1" applyAlignment="1">
      <alignment horizontal="center" vertical="top" wrapText="1"/>
    </xf>
    <xf numFmtId="0" fontId="24" fillId="3" borderId="1" xfId="0" quotePrefix="1" applyFont="1" applyFill="1" applyBorder="1" applyAlignment="1">
      <alignment horizontal="center" vertical="center" wrapText="1"/>
    </xf>
    <xf numFmtId="0" fontId="69" fillId="0" borderId="0" xfId="0" applyFont="1" applyAlignment="1">
      <alignment horizontal="center" vertical="top"/>
    </xf>
    <xf numFmtId="169" fontId="60" fillId="7" borderId="7" xfId="0" applyNumberFormat="1" applyFont="1" applyFill="1" applyBorder="1" applyAlignment="1">
      <alignment horizontal="center" vertical="center" wrapText="1"/>
    </xf>
    <xf numFmtId="169" fontId="60" fillId="7" borderId="6" xfId="0" applyNumberFormat="1" applyFont="1" applyFill="1" applyBorder="1" applyAlignment="1">
      <alignment horizontal="center" vertical="center" wrapText="1"/>
    </xf>
    <xf numFmtId="169" fontId="60" fillId="7" borderId="8" xfId="0" applyNumberFormat="1" applyFont="1" applyFill="1" applyBorder="1" applyAlignment="1">
      <alignment horizontal="center" vertical="center" wrapText="1"/>
    </xf>
    <xf numFmtId="169" fontId="60" fillId="8" borderId="7" xfId="0" applyNumberFormat="1" applyFont="1" applyFill="1" applyBorder="1" applyAlignment="1">
      <alignment horizontal="center" vertical="center" wrapText="1"/>
    </xf>
    <xf numFmtId="169" fontId="60" fillId="8" borderId="6" xfId="0" applyNumberFormat="1" applyFont="1" applyFill="1" applyBorder="1" applyAlignment="1">
      <alignment horizontal="center" vertical="center" wrapText="1"/>
    </xf>
    <xf numFmtId="169" fontId="60" fillId="8" borderId="8" xfId="0" applyNumberFormat="1" applyFont="1" applyFill="1" applyBorder="1" applyAlignment="1">
      <alignment horizontal="center" vertical="center" wrapText="1"/>
    </xf>
    <xf numFmtId="169" fontId="60" fillId="7" borderId="1" xfId="0" applyNumberFormat="1" applyFont="1" applyFill="1" applyBorder="1" applyAlignment="1">
      <alignment horizontal="center" vertical="center" wrapText="1"/>
    </xf>
    <xf numFmtId="169" fontId="65" fillId="7" borderId="7" xfId="0" applyNumberFormat="1" applyFont="1" applyFill="1" applyBorder="1" applyAlignment="1">
      <alignment horizontal="center" vertical="center" wrapText="1"/>
    </xf>
    <xf numFmtId="169" fontId="65" fillId="7" borderId="6" xfId="0" applyNumberFormat="1" applyFont="1" applyFill="1" applyBorder="1" applyAlignment="1">
      <alignment horizontal="center" vertical="center" wrapText="1"/>
    </xf>
    <xf numFmtId="169" fontId="65" fillId="7" borderId="8" xfId="0" applyNumberFormat="1" applyFont="1" applyFill="1" applyBorder="1" applyAlignment="1">
      <alignment horizontal="center" vertical="center" wrapText="1"/>
    </xf>
    <xf numFmtId="167" fontId="18" fillId="9" borderId="11" xfId="1" applyNumberFormat="1" applyFont="1" applyFill="1" applyBorder="1" applyAlignment="1">
      <alignment horizontal="center" vertical="center" wrapText="1"/>
    </xf>
    <xf numFmtId="0" fontId="0" fillId="0" borderId="14" xfId="0" applyBorder="1"/>
    <xf numFmtId="169" fontId="32" fillId="0" borderId="11" xfId="0" applyNumberFormat="1" applyFont="1" applyBorder="1" applyAlignment="1">
      <alignment horizontal="left" vertical="top" wrapText="1"/>
    </xf>
    <xf numFmtId="0" fontId="25" fillId="0" borderId="11" xfId="0" applyFont="1" applyBorder="1" applyAlignment="1">
      <alignment horizontal="left" vertical="top" wrapText="1"/>
    </xf>
    <xf numFmtId="167" fontId="45" fillId="9" borderId="7" xfId="1" applyNumberFormat="1" applyFont="1" applyFill="1" applyBorder="1" applyAlignment="1">
      <alignment horizontal="center" vertical="center" wrapText="1"/>
    </xf>
    <xf numFmtId="0" fontId="0" fillId="0" borderId="6" xfId="0" applyBorder="1"/>
    <xf numFmtId="0" fontId="0" fillId="0" borderId="8" xfId="0" applyBorder="1"/>
    <xf numFmtId="169" fontId="32" fillId="0" borderId="7" xfId="0" applyNumberFormat="1" applyFont="1" applyBorder="1" applyAlignment="1">
      <alignment horizontal="left" vertical="top" wrapText="1"/>
    </xf>
    <xf numFmtId="0" fontId="32" fillId="0" borderId="7" xfId="0" applyFont="1" applyBorder="1" applyAlignment="1">
      <alignment horizontal="center" vertical="center" wrapText="1"/>
    </xf>
    <xf numFmtId="0" fontId="25" fillId="0" borderId="6" xfId="0" applyFont="1" applyBorder="1" applyAlignment="1">
      <alignment horizontal="center" vertical="center" wrapText="1"/>
    </xf>
    <xf numFmtId="164" fontId="24" fillId="3" borderId="7" xfId="0" applyNumberFormat="1" applyFont="1" applyFill="1" applyBorder="1" applyAlignment="1">
      <alignment horizontal="center" vertical="center" wrapText="1"/>
    </xf>
    <xf numFmtId="164" fontId="24" fillId="3" borderId="6" xfId="0" applyNumberFormat="1" applyFont="1" applyFill="1" applyBorder="1" applyAlignment="1">
      <alignment horizontal="center" vertical="center" wrapText="1"/>
    </xf>
    <xf numFmtId="164" fontId="24" fillId="3" borderId="8" xfId="0" applyNumberFormat="1" applyFont="1" applyFill="1" applyBorder="1" applyAlignment="1">
      <alignment horizontal="center" vertical="center" wrapText="1"/>
    </xf>
    <xf numFmtId="0" fontId="24" fillId="8" borderId="7" xfId="0" applyFont="1" applyFill="1" applyBorder="1" applyAlignment="1">
      <alignment horizontal="center" vertical="center" wrapText="1"/>
    </xf>
    <xf numFmtId="0" fontId="24" fillId="8" borderId="6" xfId="0" applyFont="1" applyFill="1" applyBorder="1" applyAlignment="1">
      <alignment horizontal="center" vertical="center" wrapText="1"/>
    </xf>
    <xf numFmtId="0" fontId="24" fillId="8" borderId="8" xfId="0" applyFont="1" applyFill="1" applyBorder="1" applyAlignment="1">
      <alignment horizontal="center" vertical="center" wrapText="1"/>
    </xf>
    <xf numFmtId="0" fontId="5" fillId="0" borderId="0" xfId="0" applyFont="1" applyAlignment="1">
      <alignment horizontal="center"/>
    </xf>
    <xf numFmtId="169" fontId="65" fillId="7" borderId="1" xfId="0" applyNumberFormat="1" applyFont="1" applyFill="1" applyBorder="1" applyAlignment="1">
      <alignment horizontal="center" vertical="center" wrapText="1"/>
    </xf>
    <xf numFmtId="0" fontId="16" fillId="0" borderId="0" xfId="0" applyFont="1" applyAlignment="1">
      <alignment horizontal="justify" vertical="top" wrapText="1"/>
    </xf>
    <xf numFmtId="164" fontId="34" fillId="0" borderId="7" xfId="0" applyNumberFormat="1" applyFont="1" applyBorder="1" applyAlignment="1">
      <alignment horizontal="center" vertical="center" wrapText="1"/>
    </xf>
    <xf numFmtId="164" fontId="34" fillId="0" borderId="6" xfId="0" applyNumberFormat="1" applyFont="1" applyBorder="1" applyAlignment="1">
      <alignment horizontal="center" vertical="center" wrapText="1"/>
    </xf>
    <xf numFmtId="164" fontId="34" fillId="0" borderId="8" xfId="0" applyNumberFormat="1" applyFont="1" applyBorder="1" applyAlignment="1">
      <alignment horizontal="center" vertical="center" wrapText="1"/>
    </xf>
    <xf numFmtId="0" fontId="8" fillId="0" borderId="0" xfId="0" quotePrefix="1" applyFont="1" applyAlignment="1">
      <alignment horizontal="left" vertical="top" wrapText="1"/>
    </xf>
    <xf numFmtId="0" fontId="25" fillId="0" borderId="7" xfId="0" applyFont="1" applyBorder="1" applyAlignment="1">
      <alignment horizontal="left" vertical="top" wrapText="1"/>
    </xf>
    <xf numFmtId="169" fontId="66" fillId="7" borderId="7" xfId="0" applyNumberFormat="1" applyFont="1" applyFill="1" applyBorder="1" applyAlignment="1">
      <alignment horizontal="center" vertical="center" wrapText="1"/>
    </xf>
    <xf numFmtId="169" fontId="66" fillId="7" borderId="6" xfId="0" applyNumberFormat="1" applyFont="1" applyFill="1" applyBorder="1" applyAlignment="1">
      <alignment horizontal="center" vertical="center" wrapText="1"/>
    </xf>
    <xf numFmtId="169" fontId="66" fillId="7" borderId="8" xfId="0" applyNumberFormat="1" applyFont="1" applyFill="1" applyBorder="1" applyAlignment="1">
      <alignment horizontal="center" vertical="center" wrapText="1"/>
    </xf>
    <xf numFmtId="169" fontId="66" fillId="8" borderId="7" xfId="0" applyNumberFormat="1" applyFont="1" applyFill="1" applyBorder="1" applyAlignment="1">
      <alignment horizontal="center" vertical="center" wrapText="1"/>
    </xf>
    <xf numFmtId="169" fontId="66" fillId="8" borderId="6" xfId="0" applyNumberFormat="1" applyFont="1" applyFill="1" applyBorder="1" applyAlignment="1">
      <alignment horizontal="center" vertical="center" wrapText="1"/>
    </xf>
    <xf numFmtId="169" fontId="66" fillId="8" borderId="8" xfId="0" applyNumberFormat="1" applyFont="1" applyFill="1" applyBorder="1" applyAlignment="1">
      <alignment horizontal="center" vertical="center" wrapText="1"/>
    </xf>
    <xf numFmtId="169" fontId="67" fillId="7" borderId="7" xfId="0" applyNumberFormat="1" applyFont="1" applyFill="1" applyBorder="1" applyAlignment="1">
      <alignment horizontal="center" vertical="center" wrapText="1"/>
    </xf>
    <xf numFmtId="169" fontId="67" fillId="7" borderId="6" xfId="0" applyNumberFormat="1" applyFont="1" applyFill="1" applyBorder="1" applyAlignment="1">
      <alignment horizontal="center" vertical="center" wrapText="1"/>
    </xf>
    <xf numFmtId="169" fontId="67" fillId="7" borderId="8" xfId="0" applyNumberFormat="1" applyFont="1" applyFill="1" applyBorder="1" applyAlignment="1">
      <alignment horizontal="center" vertical="center" wrapText="1"/>
    </xf>
    <xf numFmtId="169" fontId="68" fillId="7" borderId="1" xfId="0" applyNumberFormat="1" applyFont="1" applyFill="1" applyBorder="1" applyAlignment="1">
      <alignment horizontal="center" vertical="center" wrapText="1"/>
    </xf>
    <xf numFmtId="167" fontId="18" fillId="9" borderId="7" xfId="1" applyNumberFormat="1" applyFont="1" applyFill="1" applyBorder="1" applyAlignment="1">
      <alignment horizontal="center" vertical="center" wrapText="1"/>
    </xf>
    <xf numFmtId="169" fontId="54" fillId="7" borderId="7" xfId="0" applyNumberFormat="1" applyFont="1" applyFill="1" applyBorder="1" applyAlignment="1">
      <alignment horizontal="center" vertical="center" wrapText="1"/>
    </xf>
    <xf numFmtId="169" fontId="54" fillId="7" borderId="6" xfId="0" applyNumberFormat="1" applyFont="1" applyFill="1" applyBorder="1" applyAlignment="1">
      <alignment horizontal="center" vertical="center" wrapText="1"/>
    </xf>
    <xf numFmtId="169" fontId="54" fillId="7" borderId="8" xfId="0" applyNumberFormat="1" applyFont="1" applyFill="1" applyBorder="1" applyAlignment="1">
      <alignment horizontal="center" vertical="center" wrapText="1"/>
    </xf>
    <xf numFmtId="169" fontId="54" fillId="8" borderId="7" xfId="0" applyNumberFormat="1" applyFont="1" applyFill="1" applyBorder="1" applyAlignment="1">
      <alignment horizontal="center" vertical="center" wrapText="1"/>
    </xf>
    <xf numFmtId="169" fontId="54" fillId="8" borderId="6" xfId="0" applyNumberFormat="1" applyFont="1" applyFill="1" applyBorder="1" applyAlignment="1">
      <alignment horizontal="center" vertical="center" wrapText="1"/>
    </xf>
    <xf numFmtId="169" fontId="54" fillId="8" borderId="8" xfId="0" applyNumberFormat="1" applyFont="1" applyFill="1" applyBorder="1" applyAlignment="1">
      <alignment horizontal="center" vertical="center" wrapText="1"/>
    </xf>
    <xf numFmtId="0" fontId="15" fillId="7" borderId="7" xfId="0" applyFont="1" applyFill="1" applyBorder="1" applyAlignment="1">
      <alignment horizontal="center" vertical="top"/>
    </xf>
    <xf numFmtId="0" fontId="15" fillId="7" borderId="6" xfId="0" applyFont="1" applyFill="1" applyBorder="1" applyAlignment="1">
      <alignment horizontal="center" vertical="top"/>
    </xf>
    <xf numFmtId="0" fontId="15" fillId="7" borderId="8" xfId="0" applyFont="1" applyFill="1" applyBorder="1" applyAlignment="1">
      <alignment horizontal="center" vertical="top"/>
    </xf>
    <xf numFmtId="169" fontId="24" fillId="8" borderId="7" xfId="0" applyNumberFormat="1" applyFont="1" applyFill="1" applyBorder="1" applyAlignment="1">
      <alignment horizontal="center" vertical="center" wrapText="1"/>
    </xf>
    <xf numFmtId="169" fontId="24" fillId="8" borderId="6" xfId="0" applyNumberFormat="1" applyFont="1" applyFill="1" applyBorder="1" applyAlignment="1">
      <alignment horizontal="center" vertical="center" wrapText="1"/>
    </xf>
    <xf numFmtId="169" fontId="24" fillId="8" borderId="8" xfId="0" applyNumberFormat="1" applyFont="1" applyFill="1" applyBorder="1" applyAlignment="1">
      <alignment horizontal="center" vertical="center" wrapText="1"/>
    </xf>
    <xf numFmtId="169" fontId="24" fillId="7" borderId="7" xfId="0" applyNumberFormat="1" applyFont="1" applyFill="1" applyBorder="1" applyAlignment="1">
      <alignment horizontal="center" vertical="center" wrapText="1"/>
    </xf>
    <xf numFmtId="169" fontId="24" fillId="7" borderId="6" xfId="0" applyNumberFormat="1" applyFont="1" applyFill="1" applyBorder="1" applyAlignment="1">
      <alignment horizontal="center" vertical="center" wrapText="1"/>
    </xf>
    <xf numFmtId="169" fontId="24" fillId="7" borderId="8" xfId="0" applyNumberFormat="1" applyFont="1" applyFill="1" applyBorder="1" applyAlignment="1">
      <alignment horizontal="center" vertical="center" wrapText="1"/>
    </xf>
    <xf numFmtId="167" fontId="29" fillId="8" borderId="7" xfId="1" applyNumberFormat="1" applyFont="1" applyFill="1" applyBorder="1" applyAlignment="1">
      <alignment horizontal="center" vertical="center" wrapText="1"/>
    </xf>
    <xf numFmtId="167" fontId="29" fillId="8" borderId="6" xfId="1" applyNumberFormat="1" applyFont="1" applyFill="1" applyBorder="1" applyAlignment="1">
      <alignment horizontal="center" vertical="center" wrapText="1"/>
    </xf>
    <xf numFmtId="167" fontId="29" fillId="8" borderId="8" xfId="1" applyNumberFormat="1" applyFont="1" applyFill="1" applyBorder="1" applyAlignment="1">
      <alignment horizontal="center" vertical="center" wrapText="1"/>
    </xf>
    <xf numFmtId="169" fontId="22" fillId="8" borderId="7" xfId="0" applyNumberFormat="1" applyFont="1" applyFill="1" applyBorder="1" applyAlignment="1">
      <alignment horizontal="center" vertical="center" wrapText="1"/>
    </xf>
    <xf numFmtId="169" fontId="22" fillId="8" borderId="6" xfId="0" applyNumberFormat="1" applyFont="1" applyFill="1" applyBorder="1" applyAlignment="1">
      <alignment horizontal="center" vertical="center" wrapText="1"/>
    </xf>
    <xf numFmtId="169" fontId="22" fillId="8" borderId="8" xfId="0" applyNumberFormat="1" applyFont="1" applyFill="1" applyBorder="1" applyAlignment="1">
      <alignment horizontal="center" vertical="center" wrapText="1"/>
    </xf>
    <xf numFmtId="169" fontId="22" fillId="7" borderId="7" xfId="0" applyNumberFormat="1" applyFont="1" applyFill="1" applyBorder="1" applyAlignment="1">
      <alignment horizontal="center" vertical="center" wrapText="1"/>
    </xf>
    <xf numFmtId="169" fontId="22" fillId="7" borderId="6" xfId="0" applyNumberFormat="1" applyFont="1" applyFill="1" applyBorder="1" applyAlignment="1">
      <alignment horizontal="center" vertical="center" wrapText="1"/>
    </xf>
    <xf numFmtId="169" fontId="22" fillId="7" borderId="8" xfId="0" applyNumberFormat="1" applyFont="1" applyFill="1" applyBorder="1" applyAlignment="1">
      <alignment horizontal="center" vertical="center" wrapText="1"/>
    </xf>
    <xf numFmtId="167" fontId="20" fillId="8" borderId="7" xfId="1" applyNumberFormat="1" applyFont="1" applyFill="1" applyBorder="1" applyAlignment="1">
      <alignment horizontal="center" vertical="center" wrapText="1"/>
    </xf>
    <xf numFmtId="167" fontId="20" fillId="8" borderId="6" xfId="1" applyNumberFormat="1" applyFont="1" applyFill="1" applyBorder="1" applyAlignment="1">
      <alignment horizontal="center" vertical="center" wrapText="1"/>
    </xf>
    <xf numFmtId="167" fontId="20" fillId="8" borderId="8" xfId="1" applyNumberFormat="1" applyFont="1" applyFill="1" applyBorder="1" applyAlignment="1">
      <alignment horizontal="center" vertical="center" wrapText="1"/>
    </xf>
    <xf numFmtId="0" fontId="15" fillId="3" borderId="7"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8" xfId="0" applyFont="1" applyFill="1" applyBorder="1" applyAlignment="1">
      <alignment horizontal="center" vertical="center"/>
    </xf>
    <xf numFmtId="1" fontId="15" fillId="8" borderId="7" xfId="0" applyNumberFormat="1" applyFont="1" applyFill="1" applyBorder="1" applyAlignment="1">
      <alignment horizontal="center" vertical="center" wrapText="1"/>
    </xf>
    <xf numFmtId="1" fontId="15" fillId="8" borderId="6" xfId="0" applyNumberFormat="1" applyFont="1" applyFill="1" applyBorder="1" applyAlignment="1">
      <alignment horizontal="center" vertical="center" wrapText="1"/>
    </xf>
    <xf numFmtId="1" fontId="15" fillId="8" borderId="8" xfId="0" applyNumberFormat="1" applyFont="1" applyFill="1" applyBorder="1" applyAlignment="1">
      <alignment horizontal="center" vertical="center" wrapText="1"/>
    </xf>
    <xf numFmtId="1" fontId="15" fillId="3" borderId="7" xfId="0" applyNumberFormat="1" applyFont="1" applyFill="1" applyBorder="1" applyAlignment="1">
      <alignment horizontal="center" vertical="center" wrapText="1"/>
    </xf>
    <xf numFmtId="1" fontId="15" fillId="3" borderId="6" xfId="0" applyNumberFormat="1" applyFont="1" applyFill="1" applyBorder="1" applyAlignment="1">
      <alignment horizontal="center" vertical="center" wrapText="1"/>
    </xf>
    <xf numFmtId="1" fontId="15" fillId="3" borderId="8" xfId="0" applyNumberFormat="1" applyFont="1" applyFill="1" applyBorder="1" applyAlignment="1">
      <alignment horizontal="center" vertical="center" wrapText="1"/>
    </xf>
    <xf numFmtId="0" fontId="15" fillId="8" borderId="7" xfId="0" quotePrefix="1" applyFont="1" applyFill="1" applyBorder="1" applyAlignment="1">
      <alignment horizontal="center" vertical="center" wrapText="1"/>
    </xf>
    <xf numFmtId="0" fontId="15" fillId="8" borderId="6" xfId="0" quotePrefix="1" applyFont="1" applyFill="1" applyBorder="1" applyAlignment="1">
      <alignment horizontal="center" vertical="center" wrapText="1"/>
    </xf>
    <xf numFmtId="0" fontId="15" fillId="8" borderId="8" xfId="0" quotePrefix="1" applyFont="1" applyFill="1" applyBorder="1" applyAlignment="1">
      <alignment horizontal="center" vertical="center" wrapText="1"/>
    </xf>
    <xf numFmtId="0" fontId="62" fillId="0" borderId="7" xfId="0" applyFont="1" applyBorder="1" applyAlignment="1">
      <alignment horizontal="left" vertical="center" wrapText="1"/>
    </xf>
    <xf numFmtId="0" fontId="62" fillId="0" borderId="6" xfId="0" applyFont="1" applyBorder="1" applyAlignment="1">
      <alignment horizontal="left" vertical="center" wrapText="1"/>
    </xf>
    <xf numFmtId="0" fontId="62" fillId="0" borderId="8" xfId="0" applyFont="1" applyBorder="1" applyAlignment="1">
      <alignment horizontal="left" vertical="center" wrapText="1"/>
    </xf>
    <xf numFmtId="169" fontId="54" fillId="7" borderId="1" xfId="0" applyNumberFormat="1" applyFont="1" applyFill="1" applyBorder="1" applyAlignment="1">
      <alignment horizontal="center" vertical="center" wrapText="1"/>
    </xf>
    <xf numFmtId="0" fontId="46" fillId="7" borderId="7" xfId="0" applyFont="1" applyFill="1" applyBorder="1" applyAlignment="1">
      <alignment horizontal="left" vertical="center" wrapText="1"/>
    </xf>
    <xf numFmtId="0" fontId="46" fillId="7" borderId="6" xfId="0" applyFont="1" applyFill="1" applyBorder="1" applyAlignment="1">
      <alignment horizontal="left" vertical="center" wrapText="1"/>
    </xf>
    <xf numFmtId="0" fontId="46" fillId="7" borderId="8" xfId="0" applyFont="1" applyFill="1" applyBorder="1" applyAlignment="1">
      <alignment horizontal="left" vertical="center" wrapText="1"/>
    </xf>
    <xf numFmtId="169" fontId="51" fillId="7" borderId="7" xfId="0" applyNumberFormat="1" applyFont="1" applyFill="1" applyBorder="1" applyAlignment="1">
      <alignment horizontal="center" vertical="center" wrapText="1"/>
    </xf>
    <xf numFmtId="169" fontId="51" fillId="7" borderId="6" xfId="0" applyNumberFormat="1" applyFont="1" applyFill="1" applyBorder="1" applyAlignment="1">
      <alignment horizontal="center" vertical="center" wrapText="1"/>
    </xf>
    <xf numFmtId="169" fontId="51" fillId="8" borderId="7" xfId="0" applyNumberFormat="1" applyFont="1" applyFill="1" applyBorder="1" applyAlignment="1">
      <alignment horizontal="center" vertical="center" wrapText="1"/>
    </xf>
    <xf numFmtId="169" fontId="51" fillId="8" borderId="6" xfId="0" applyNumberFormat="1" applyFont="1" applyFill="1" applyBorder="1" applyAlignment="1">
      <alignment horizontal="center" vertical="center" wrapText="1"/>
    </xf>
    <xf numFmtId="169" fontId="51" fillId="7" borderId="1" xfId="0" applyNumberFormat="1" applyFont="1" applyFill="1" applyBorder="1" applyAlignment="1">
      <alignment horizontal="center" vertical="center" wrapText="1"/>
    </xf>
    <xf numFmtId="0" fontId="24" fillId="3" borderId="2" xfId="0" applyFont="1" applyFill="1" applyBorder="1" applyAlignment="1">
      <alignment horizontal="center" vertical="center"/>
    </xf>
    <xf numFmtId="0" fontId="24" fillId="3" borderId="12" xfId="0" applyFont="1" applyFill="1" applyBorder="1" applyAlignment="1">
      <alignment horizontal="center" vertical="center"/>
    </xf>
    <xf numFmtId="0" fontId="24" fillId="3" borderId="11"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14"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10" xfId="0" applyFont="1" applyFill="1" applyBorder="1" applyAlignment="1">
      <alignment horizontal="center" vertical="center"/>
    </xf>
    <xf numFmtId="1" fontId="24" fillId="3" borderId="7" xfId="0" applyNumberFormat="1" applyFont="1" applyFill="1" applyBorder="1" applyAlignment="1">
      <alignment horizontal="center" vertical="center" wrapText="1"/>
    </xf>
    <xf numFmtId="1" fontId="24" fillId="3" borderId="6" xfId="0" applyNumberFormat="1" applyFont="1" applyFill="1" applyBorder="1" applyAlignment="1">
      <alignment horizontal="center" vertical="center" wrapText="1"/>
    </xf>
    <xf numFmtId="1" fontId="24" fillId="3" borderId="8" xfId="0" applyNumberFormat="1" applyFont="1" applyFill="1" applyBorder="1" applyAlignment="1">
      <alignment horizontal="center" vertical="center" wrapText="1"/>
    </xf>
    <xf numFmtId="0" fontId="24" fillId="7" borderId="7" xfId="0" applyFont="1" applyFill="1" applyBorder="1" applyAlignment="1">
      <alignment horizontal="left" vertical="center"/>
    </xf>
    <xf numFmtId="0" fontId="24" fillId="7" borderId="6" xfId="0" applyFont="1" applyFill="1" applyBorder="1" applyAlignment="1">
      <alignment horizontal="left" vertical="center"/>
    </xf>
    <xf numFmtId="0" fontId="24" fillId="7" borderId="8" xfId="0" applyFont="1" applyFill="1" applyBorder="1" applyAlignment="1">
      <alignment horizontal="left" vertical="center"/>
    </xf>
    <xf numFmtId="167" fontId="45" fillId="9" borderId="0" xfId="1" applyNumberFormat="1" applyFont="1" applyFill="1" applyBorder="1" applyAlignment="1">
      <alignment horizontal="center" vertical="center" wrapText="1"/>
    </xf>
    <xf numFmtId="0" fontId="32" fillId="0" borderId="0" xfId="0" quotePrefix="1" applyFont="1" applyAlignment="1">
      <alignment horizontal="left" vertical="top" wrapText="1"/>
    </xf>
    <xf numFmtId="0" fontId="54" fillId="0" borderId="7" xfId="0" applyFont="1" applyBorder="1" applyAlignment="1">
      <alignment horizontal="left" vertical="center" wrapText="1"/>
    </xf>
    <xf numFmtId="0" fontId="54" fillId="0" borderId="6" xfId="0" applyFont="1" applyBorder="1" applyAlignment="1">
      <alignment horizontal="left" vertical="center" wrapText="1"/>
    </xf>
    <xf numFmtId="0" fontId="54" fillId="0" borderId="8" xfId="0" applyFont="1" applyBorder="1" applyAlignment="1">
      <alignment horizontal="left" vertical="center" wrapText="1"/>
    </xf>
    <xf numFmtId="169" fontId="35" fillId="7" borderId="1" xfId="0" applyNumberFormat="1" applyFont="1" applyFill="1" applyBorder="1" applyAlignment="1">
      <alignment horizontal="center" vertical="center" wrapText="1"/>
    </xf>
    <xf numFmtId="0" fontId="15" fillId="0" borderId="0" xfId="0" applyFont="1" applyAlignment="1">
      <alignment horizontal="justify" vertical="top" wrapText="1"/>
    </xf>
    <xf numFmtId="0" fontId="15" fillId="3" borderId="7"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8" xfId="0" applyFont="1" applyFill="1" applyBorder="1" applyAlignment="1">
      <alignment horizontal="left" vertical="center" wrapText="1"/>
    </xf>
    <xf numFmtId="43" fontId="11" fillId="8" borderId="1" xfId="2" applyFont="1" applyFill="1" applyBorder="1" applyAlignment="1">
      <alignment horizontal="left" vertical="center" wrapText="1"/>
    </xf>
    <xf numFmtId="43" fontId="22" fillId="8" borderId="1" xfId="2" applyFont="1" applyFill="1" applyBorder="1" applyAlignment="1">
      <alignment horizontal="left" vertical="top" wrapText="1"/>
    </xf>
    <xf numFmtId="0" fontId="11" fillId="3" borderId="7" xfId="0" applyFont="1" applyFill="1" applyBorder="1" applyAlignment="1">
      <alignment horizontal="left" vertical="top" wrapText="1"/>
    </xf>
    <xf numFmtId="0" fontId="11" fillId="3" borderId="6" xfId="0" applyFont="1" applyFill="1" applyBorder="1" applyAlignment="1">
      <alignment horizontal="left" vertical="top" wrapText="1"/>
    </xf>
    <xf numFmtId="0" fontId="11" fillId="3" borderId="8" xfId="0" applyFont="1" applyFill="1" applyBorder="1" applyAlignment="1">
      <alignment horizontal="left" vertical="top" wrapText="1"/>
    </xf>
    <xf numFmtId="43" fontId="11" fillId="8" borderId="1" xfId="2" applyFont="1" applyFill="1" applyBorder="1" applyAlignment="1">
      <alignment horizontal="left" vertical="top" wrapText="1"/>
    </xf>
    <xf numFmtId="0" fontId="32" fillId="0" borderId="1" xfId="0" quotePrefix="1" applyFont="1" applyBorder="1" applyAlignment="1">
      <alignment horizontal="left" vertical="top" wrapText="1"/>
    </xf>
    <xf numFmtId="0" fontId="7" fillId="0" borderId="0" xfId="0" quotePrefix="1" applyFont="1" applyAlignment="1">
      <alignment horizontal="left" vertical="top" wrapText="1"/>
    </xf>
    <xf numFmtId="1" fontId="15" fillId="8" borderId="11" xfId="0" applyNumberFormat="1" applyFont="1" applyFill="1" applyBorder="1" applyAlignment="1">
      <alignment horizontal="center" vertical="center" wrapText="1"/>
    </xf>
    <xf numFmtId="1" fontId="15" fillId="8" borderId="4" xfId="0" applyNumberFormat="1" applyFont="1" applyFill="1" applyBorder="1" applyAlignment="1">
      <alignment horizontal="center" vertical="center" wrapText="1"/>
    </xf>
    <xf numFmtId="1" fontId="15" fillId="8" borderId="14" xfId="0" applyNumberFormat="1" applyFont="1" applyFill="1" applyBorder="1" applyAlignment="1">
      <alignment horizontal="center" vertical="center" wrapText="1"/>
    </xf>
    <xf numFmtId="1" fontId="15" fillId="3" borderId="11" xfId="0" applyNumberFormat="1" applyFont="1" applyFill="1" applyBorder="1" applyAlignment="1">
      <alignment horizontal="center" vertical="center" wrapText="1"/>
    </xf>
    <xf numFmtId="1" fontId="15" fillId="3" borderId="4" xfId="0" applyNumberFormat="1" applyFont="1" applyFill="1" applyBorder="1" applyAlignment="1">
      <alignment horizontal="center" vertical="center" wrapText="1"/>
    </xf>
    <xf numFmtId="43" fontId="11" fillId="7" borderId="1" xfId="2" applyFont="1" applyFill="1" applyBorder="1" applyAlignment="1">
      <alignment horizontal="left" vertical="top" wrapText="1"/>
    </xf>
    <xf numFmtId="0" fontId="11" fillId="8" borderId="1" xfId="2" applyNumberFormat="1" applyFont="1" applyFill="1" applyBorder="1" applyAlignment="1">
      <alignment horizontal="left" vertical="top" wrapText="1"/>
    </xf>
    <xf numFmtId="167" fontId="18" fillId="9" borderId="6" xfId="1" applyNumberFormat="1" applyFont="1" applyFill="1" applyBorder="1" applyAlignment="1">
      <alignment horizontal="center" vertical="center" wrapText="1"/>
    </xf>
    <xf numFmtId="43" fontId="11" fillId="8" borderId="11" xfId="2" applyFont="1" applyFill="1" applyBorder="1" applyAlignment="1">
      <alignment horizontal="left" vertical="top" wrapText="1"/>
    </xf>
    <xf numFmtId="43" fontId="11" fillId="8" borderId="4" xfId="2" applyFont="1" applyFill="1" applyBorder="1" applyAlignment="1">
      <alignment horizontal="left" vertical="top" wrapText="1"/>
    </xf>
    <xf numFmtId="43" fontId="11" fillId="0" borderId="11" xfId="2" applyFont="1" applyBorder="1" applyAlignment="1">
      <alignment horizontal="left" vertical="top" wrapText="1"/>
    </xf>
    <xf numFmtId="43" fontId="11" fillId="0" borderId="4" xfId="2" applyFont="1" applyBorder="1" applyAlignment="1">
      <alignment horizontal="left" vertical="top" wrapText="1"/>
    </xf>
    <xf numFmtId="0" fontId="7" fillId="0" borderId="0" xfId="0" applyFont="1" applyAlignment="1">
      <alignment horizontal="left" wrapText="1"/>
    </xf>
    <xf numFmtId="0" fontId="11" fillId="0" borderId="0" xfId="0" applyFont="1" applyAlignment="1">
      <alignment horizontal="center" vertical="top"/>
    </xf>
    <xf numFmtId="167" fontId="45" fillId="9" borderId="6" xfId="1" applyNumberFormat="1" applyFont="1" applyFill="1" applyBorder="1" applyAlignment="1">
      <alignment horizontal="center" vertical="center" wrapText="1"/>
    </xf>
    <xf numFmtId="167" fontId="11" fillId="0" borderId="0" xfId="1" applyNumberFormat="1" applyFont="1" applyBorder="1" applyAlignment="1">
      <alignment horizontal="center" wrapText="1"/>
    </xf>
    <xf numFmtId="0" fontId="29" fillId="7" borderId="7" xfId="0" applyFont="1" applyFill="1" applyBorder="1" applyAlignment="1">
      <alignment horizontal="center" vertical="top" wrapText="1"/>
    </xf>
    <xf numFmtId="0" fontId="29" fillId="7" borderId="6" xfId="0" applyFont="1" applyFill="1" applyBorder="1" applyAlignment="1">
      <alignment horizontal="center" vertical="top" wrapText="1"/>
    </xf>
    <xf numFmtId="0" fontId="29" fillId="7" borderId="8" xfId="0" applyFont="1" applyFill="1" applyBorder="1" applyAlignment="1">
      <alignment horizontal="center" vertical="top" wrapText="1"/>
    </xf>
    <xf numFmtId="0" fontId="59" fillId="7" borderId="7" xfId="0" applyFont="1" applyFill="1" applyBorder="1" applyAlignment="1">
      <alignment horizontal="center" vertical="center" wrapText="1"/>
    </xf>
    <xf numFmtId="0" fontId="59" fillId="7" borderId="6" xfId="0" applyFont="1" applyFill="1" applyBorder="1" applyAlignment="1">
      <alignment horizontal="center" vertical="center" wrapText="1"/>
    </xf>
    <xf numFmtId="169" fontId="24" fillId="7" borderId="1" xfId="0" applyNumberFormat="1" applyFont="1" applyFill="1" applyBorder="1" applyAlignment="1">
      <alignment horizontal="center" vertical="center" wrapText="1"/>
    </xf>
    <xf numFmtId="0" fontId="20" fillId="0" borderId="7" xfId="0" applyFont="1" applyBorder="1" applyAlignment="1">
      <alignment horizontal="left" vertical="top"/>
    </xf>
    <xf numFmtId="0" fontId="20" fillId="0" borderId="6" xfId="0" applyFont="1" applyBorder="1" applyAlignment="1">
      <alignment horizontal="left" vertical="top"/>
    </xf>
    <xf numFmtId="0" fontId="20" fillId="0" borderId="8" xfId="0" applyFont="1" applyBorder="1" applyAlignment="1">
      <alignment horizontal="left" vertical="top"/>
    </xf>
    <xf numFmtId="10" fontId="47" fillId="0" borderId="7" xfId="0" applyNumberFormat="1" applyFont="1" applyBorder="1" applyAlignment="1">
      <alignment horizontal="center" vertical="center" wrapText="1"/>
    </xf>
    <xf numFmtId="0" fontId="47" fillId="0" borderId="6" xfId="0" applyFont="1" applyBorder="1" applyAlignment="1">
      <alignment horizontal="center" vertical="center" wrapText="1"/>
    </xf>
    <xf numFmtId="169" fontId="22" fillId="7" borderId="1" xfId="0" applyNumberFormat="1" applyFont="1" applyFill="1" applyBorder="1" applyAlignment="1">
      <alignment horizontal="center" vertical="center" wrapText="1"/>
    </xf>
    <xf numFmtId="0" fontId="20" fillId="3" borderId="7" xfId="0" applyFont="1" applyFill="1" applyBorder="1" applyAlignment="1">
      <alignment horizontal="left" vertical="top"/>
    </xf>
    <xf numFmtId="0" fontId="20" fillId="3" borderId="6" xfId="0" applyFont="1" applyFill="1" applyBorder="1" applyAlignment="1">
      <alignment horizontal="left" vertical="top"/>
    </xf>
    <xf numFmtId="0" fontId="20" fillId="3" borderId="8" xfId="0" applyFont="1" applyFill="1" applyBorder="1" applyAlignment="1">
      <alignment horizontal="left" vertical="top"/>
    </xf>
    <xf numFmtId="0" fontId="58" fillId="3" borderId="7" xfId="0" applyFont="1" applyFill="1" applyBorder="1" applyAlignment="1">
      <alignment horizontal="center" vertical="center" wrapText="1"/>
    </xf>
    <xf numFmtId="0" fontId="58" fillId="3" borderId="6" xfId="0" applyFont="1" applyFill="1" applyBorder="1" applyAlignment="1">
      <alignment horizontal="center" vertical="center" wrapText="1"/>
    </xf>
    <xf numFmtId="0" fontId="29" fillId="0" borderId="7" xfId="0" applyFont="1" applyBorder="1" applyAlignment="1">
      <alignment horizontal="left" vertical="top"/>
    </xf>
    <xf numFmtId="0" fontId="29" fillId="0" borderId="6" xfId="0" applyFont="1" applyBorder="1" applyAlignment="1">
      <alignment horizontal="left" vertical="top"/>
    </xf>
    <xf numFmtId="0" fontId="29" fillId="0" borderId="8" xfId="0" applyFont="1" applyBorder="1" applyAlignment="1">
      <alignment horizontal="left" vertical="top"/>
    </xf>
    <xf numFmtId="0" fontId="58" fillId="0" borderId="7" xfId="0" applyFont="1" applyBorder="1" applyAlignment="1">
      <alignment horizontal="center" vertical="center" wrapText="1"/>
    </xf>
    <xf numFmtId="0" fontId="58" fillId="0" borderId="6" xfId="0" applyFont="1" applyBorder="1" applyAlignment="1">
      <alignment horizontal="center" vertical="center" wrapText="1"/>
    </xf>
    <xf numFmtId="0" fontId="17" fillId="0" borderId="6" xfId="0" applyFont="1" applyBorder="1"/>
    <xf numFmtId="0" fontId="17" fillId="0" borderId="8" xfId="0" applyFont="1" applyBorder="1"/>
    <xf numFmtId="0" fontId="57" fillId="0" borderId="6" xfId="0" applyFont="1" applyBorder="1"/>
    <xf numFmtId="0" fontId="57" fillId="0" borderId="8" xfId="0" applyFont="1" applyBorder="1"/>
    <xf numFmtId="167" fontId="31" fillId="8" borderId="7" xfId="1" applyNumberFormat="1" applyFont="1" applyFill="1" applyBorder="1" applyAlignment="1">
      <alignment horizontal="center" vertical="top" wrapText="1"/>
    </xf>
    <xf numFmtId="167" fontId="31" fillId="8" borderId="6" xfId="1" applyNumberFormat="1" applyFont="1" applyFill="1" applyBorder="1" applyAlignment="1">
      <alignment horizontal="center" vertical="top" wrapText="1"/>
    </xf>
    <xf numFmtId="167" fontId="31" fillId="8" borderId="8" xfId="1" applyNumberFormat="1" applyFont="1" applyFill="1" applyBorder="1" applyAlignment="1">
      <alignment horizontal="center" vertical="top" wrapText="1"/>
    </xf>
    <xf numFmtId="0" fontId="47" fillId="0" borderId="7" xfId="0" applyFont="1" applyBorder="1" applyAlignment="1">
      <alignment horizontal="center" vertical="top" wrapText="1"/>
    </xf>
    <xf numFmtId="0" fontId="47" fillId="0" borderId="6" xfId="0" applyFont="1" applyBorder="1" applyAlignment="1">
      <alignment horizontal="center" vertical="top" wrapText="1"/>
    </xf>
    <xf numFmtId="0" fontId="47" fillId="0" borderId="8" xfId="0" applyFont="1" applyBorder="1" applyAlignment="1">
      <alignment horizontal="center" vertical="top" wrapText="1"/>
    </xf>
    <xf numFmtId="167" fontId="31" fillId="0" borderId="7" xfId="1" applyNumberFormat="1" applyFont="1" applyBorder="1" applyAlignment="1">
      <alignment horizontal="center" vertical="top" wrapText="1"/>
    </xf>
    <xf numFmtId="167" fontId="31" fillId="0" borderId="6" xfId="1" applyNumberFormat="1" applyFont="1" applyBorder="1" applyAlignment="1">
      <alignment horizontal="center" vertical="top" wrapText="1"/>
    </xf>
    <xf numFmtId="167" fontId="31" fillId="0" borderId="8" xfId="1" applyNumberFormat="1" applyFont="1" applyBorder="1" applyAlignment="1">
      <alignment horizontal="center" vertical="top" wrapText="1"/>
    </xf>
    <xf numFmtId="0" fontId="11" fillId="0" borderId="5" xfId="0" applyFont="1" applyBorder="1" applyAlignment="1">
      <alignment horizontal="center" vertical="top"/>
    </xf>
    <xf numFmtId="0" fontId="15" fillId="8" borderId="7" xfId="0" applyFont="1" applyFill="1" applyBorder="1" applyAlignment="1">
      <alignment horizontal="center" vertical="center" wrapText="1"/>
    </xf>
    <xf numFmtId="0" fontId="15" fillId="8" borderId="6"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22" fillId="0" borderId="7" xfId="0" applyFont="1" applyBorder="1" applyAlignment="1">
      <alignment horizontal="left" vertical="center" wrapText="1"/>
    </xf>
    <xf numFmtId="0" fontId="22" fillId="0" borderId="6" xfId="0" applyFont="1" applyBorder="1" applyAlignment="1">
      <alignment horizontal="left" vertical="center" wrapText="1"/>
    </xf>
    <xf numFmtId="0" fontId="22" fillId="0" borderId="8" xfId="0" applyFont="1" applyBorder="1" applyAlignment="1">
      <alignment horizontal="left" vertical="center" wrapText="1"/>
    </xf>
    <xf numFmtId="0" fontId="56" fillId="0" borderId="0" xfId="0" applyFont="1" applyAlignment="1">
      <alignment horizontal="center" vertical="center" wrapText="1" readingOrder="1"/>
    </xf>
    <xf numFmtId="167" fontId="37" fillId="0" borderId="0" xfId="1" applyNumberFormat="1" applyFont="1" applyFill="1" applyBorder="1" applyAlignment="1">
      <alignment horizontal="left" vertical="top" wrapText="1"/>
    </xf>
    <xf numFmtId="0" fontId="22" fillId="0" borderId="0" xfId="0" applyFont="1" applyAlignment="1">
      <alignment horizontal="left" vertical="top"/>
    </xf>
    <xf numFmtId="0" fontId="15" fillId="0" borderId="0" xfId="0" applyFont="1" applyAlignment="1">
      <alignment horizontal="left" vertical="top"/>
    </xf>
    <xf numFmtId="0" fontId="55" fillId="0" borderId="0" xfId="0" applyFont="1" applyAlignment="1">
      <alignment horizontal="center" vertical="center"/>
    </xf>
    <xf numFmtId="0" fontId="55" fillId="0" borderId="0" xfId="0" applyFont="1" applyAlignment="1">
      <alignment horizontal="left" vertical="center" wrapText="1" readingOrder="1"/>
    </xf>
    <xf numFmtId="167" fontId="16" fillId="0" borderId="0" xfId="1" applyNumberFormat="1" applyFont="1" applyFill="1" applyBorder="1" applyAlignment="1">
      <alignment horizontal="left" vertical="center" wrapText="1"/>
    </xf>
    <xf numFmtId="0" fontId="22" fillId="7" borderId="7" xfId="0" applyFont="1" applyFill="1" applyBorder="1" applyAlignment="1">
      <alignment horizontal="left" vertical="center"/>
    </xf>
    <xf numFmtId="0" fontId="22" fillId="7" borderId="6" xfId="0" applyFont="1" applyFill="1" applyBorder="1" applyAlignment="1">
      <alignment horizontal="left" vertical="center"/>
    </xf>
    <xf numFmtId="0" fontId="22" fillId="7" borderId="8" xfId="0" applyFont="1" applyFill="1" applyBorder="1" applyAlignment="1">
      <alignment horizontal="left" vertical="center"/>
    </xf>
    <xf numFmtId="0" fontId="13" fillId="0" borderId="0" xfId="0" applyFont="1" applyAlignment="1">
      <alignment horizontal="left" vertical="top" wrapText="1"/>
    </xf>
    <xf numFmtId="0" fontId="34" fillId="0" borderId="7" xfId="0" applyFont="1" applyBorder="1" applyAlignment="1">
      <alignment horizontal="left" vertical="center" wrapText="1"/>
    </xf>
    <xf numFmtId="0" fontId="34" fillId="0" borderId="6" xfId="0" applyFont="1" applyBorder="1" applyAlignment="1">
      <alignment horizontal="left" vertical="center" wrapText="1"/>
    </xf>
    <xf numFmtId="0" fontId="34" fillId="0" borderId="8" xfId="0" applyFont="1" applyBorder="1" applyAlignment="1">
      <alignment horizontal="left" vertical="center" wrapText="1"/>
    </xf>
    <xf numFmtId="0" fontId="24" fillId="7" borderId="7" xfId="0" applyFont="1" applyFill="1" applyBorder="1" applyAlignment="1">
      <alignment horizontal="center" vertical="center"/>
    </xf>
    <xf numFmtId="0" fontId="24" fillId="7" borderId="6" xfId="0" applyFont="1" applyFill="1" applyBorder="1" applyAlignment="1">
      <alignment horizontal="center" vertical="center"/>
    </xf>
    <xf numFmtId="0" fontId="24" fillId="7" borderId="8" xfId="0" applyFont="1" applyFill="1" applyBorder="1" applyAlignment="1">
      <alignment horizontal="center" vertical="center"/>
    </xf>
    <xf numFmtId="0" fontId="22" fillId="0" borderId="11" xfId="0" applyFont="1" applyBorder="1" applyAlignment="1">
      <alignment horizontal="left" vertical="center"/>
    </xf>
    <xf numFmtId="0" fontId="22" fillId="0" borderId="4" xfId="0" applyFont="1" applyBorder="1" applyAlignment="1">
      <alignment horizontal="left" vertical="center"/>
    </xf>
    <xf numFmtId="0" fontId="22" fillId="0" borderId="14" xfId="0" applyFont="1" applyBorder="1" applyAlignment="1">
      <alignment horizontal="left" vertical="center"/>
    </xf>
    <xf numFmtId="0" fontId="22" fillId="0" borderId="7" xfId="0" applyFont="1" applyBorder="1" applyAlignment="1">
      <alignment horizontal="left" vertical="center"/>
    </xf>
    <xf numFmtId="0" fontId="22" fillId="0" borderId="6" xfId="0" applyFont="1" applyBorder="1" applyAlignment="1">
      <alignment horizontal="left" vertical="center"/>
    </xf>
    <xf numFmtId="0" fontId="22" fillId="0" borderId="8" xfId="0" applyFont="1" applyBorder="1" applyAlignment="1">
      <alignment horizontal="left" vertical="center"/>
    </xf>
    <xf numFmtId="0" fontId="25" fillId="8" borderId="1" xfId="0" applyFont="1" applyFill="1" applyBorder="1" applyAlignment="1">
      <alignment horizontal="center" vertical="top"/>
    </xf>
    <xf numFmtId="0" fontId="15" fillId="7" borderId="7"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8" xfId="0" applyFont="1" applyFill="1" applyBorder="1" applyAlignment="1">
      <alignment horizontal="center" vertical="center"/>
    </xf>
    <xf numFmtId="0" fontId="5" fillId="8" borderId="1" xfId="0" applyFont="1" applyFill="1" applyBorder="1" applyAlignment="1">
      <alignment horizontal="center" vertical="top"/>
    </xf>
    <xf numFmtId="0" fontId="4" fillId="8" borderId="1" xfId="0" applyFont="1" applyFill="1" applyBorder="1" applyAlignment="1">
      <alignment horizontal="center" vertical="top"/>
    </xf>
    <xf numFmtId="0" fontId="6" fillId="8" borderId="1" xfId="0" applyFont="1" applyFill="1" applyBorder="1" applyAlignment="1">
      <alignment horizontal="center" vertical="top"/>
    </xf>
    <xf numFmtId="0" fontId="9" fillId="0" borderId="15" xfId="0" applyFont="1" applyBorder="1" applyAlignment="1">
      <alignment horizontal="left" vertical="top" wrapText="1"/>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left" vertical="top"/>
    </xf>
    <xf numFmtId="0" fontId="8" fillId="0" borderId="6" xfId="0" applyFont="1" applyBorder="1" applyAlignment="1">
      <alignment horizontal="left" vertical="top"/>
    </xf>
    <xf numFmtId="0" fontId="8" fillId="0" borderId="8" xfId="0" applyFont="1" applyBorder="1" applyAlignment="1">
      <alignment horizontal="left" vertical="top"/>
    </xf>
    <xf numFmtId="0" fontId="4" fillId="8" borderId="7" xfId="0" applyFont="1" applyFill="1" applyBorder="1" applyAlignment="1">
      <alignment horizontal="center" vertical="center"/>
    </xf>
    <xf numFmtId="0" fontId="4" fillId="8" borderId="8" xfId="0" applyFont="1" applyFill="1" applyBorder="1" applyAlignment="1">
      <alignment horizontal="center" vertical="center"/>
    </xf>
    <xf numFmtId="0" fontId="52" fillId="8" borderId="1" xfId="0" applyFont="1" applyFill="1" applyBorder="1" applyAlignment="1">
      <alignment horizontal="center" vertical="top"/>
    </xf>
    <xf numFmtId="169" fontId="7" fillId="0" borderId="7" xfId="0" applyNumberFormat="1" applyFont="1" applyBorder="1" applyAlignment="1">
      <alignment horizontal="left" vertical="top"/>
    </xf>
    <xf numFmtId="169" fontId="7" fillId="0" borderId="6" xfId="0" applyNumberFormat="1" applyFont="1" applyBorder="1" applyAlignment="1">
      <alignment horizontal="left" vertical="top"/>
    </xf>
    <xf numFmtId="169" fontId="7" fillId="0" borderId="8" xfId="0" applyNumberFormat="1" applyFont="1" applyBorder="1" applyAlignment="1">
      <alignment horizontal="left" vertical="top"/>
    </xf>
    <xf numFmtId="165" fontId="6" fillId="8" borderId="7" xfId="2" applyNumberFormat="1" applyFont="1" applyFill="1" applyBorder="1" applyAlignment="1">
      <alignment horizontal="center" vertical="top"/>
    </xf>
    <xf numFmtId="165" fontId="6" fillId="8" borderId="8" xfId="2" applyNumberFormat="1" applyFont="1" applyFill="1" applyBorder="1" applyAlignment="1">
      <alignment horizontal="center" vertical="top"/>
    </xf>
    <xf numFmtId="167" fontId="24" fillId="7" borderId="7" xfId="1" applyNumberFormat="1" applyFont="1" applyFill="1" applyBorder="1" applyAlignment="1">
      <alignment horizontal="center" vertical="center" wrapText="1"/>
    </xf>
    <xf numFmtId="167" fontId="5" fillId="0" borderId="6" xfId="1" applyNumberFormat="1" applyFont="1" applyBorder="1"/>
    <xf numFmtId="167" fontId="5" fillId="0" borderId="8" xfId="1" applyNumberFormat="1" applyFont="1" applyBorder="1"/>
    <xf numFmtId="165" fontId="51" fillId="8" borderId="7" xfId="2" applyNumberFormat="1" applyFont="1" applyFill="1" applyBorder="1" applyAlignment="1">
      <alignment horizontal="center" vertical="center"/>
    </xf>
    <xf numFmtId="0" fontId="5" fillId="8" borderId="8" xfId="0" applyFont="1" applyFill="1" applyBorder="1"/>
    <xf numFmtId="0" fontId="5" fillId="8" borderId="7" xfId="0" applyFont="1" applyFill="1" applyBorder="1" applyAlignment="1">
      <alignment horizontal="center" vertical="top"/>
    </xf>
    <xf numFmtId="0" fontId="20" fillId="0" borderId="0" xfId="0" quotePrefix="1" applyFont="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left" vertical="center" wrapText="1"/>
    </xf>
    <xf numFmtId="164" fontId="20" fillId="0" borderId="5" xfId="0" applyNumberFormat="1" applyFont="1" applyBorder="1" applyAlignment="1">
      <alignment horizontal="center" vertical="center" wrapText="1"/>
    </xf>
    <xf numFmtId="0" fontId="29" fillId="0" borderId="0" xfId="0" applyFont="1" applyAlignment="1">
      <alignment horizontal="right" vertical="center"/>
    </xf>
    <xf numFmtId="164" fontId="20" fillId="0" borderId="0" xfId="0" applyNumberFormat="1" applyFont="1" applyAlignment="1">
      <alignment horizontal="center" vertical="center" wrapText="1"/>
    </xf>
    <xf numFmtId="169" fontId="24" fillId="0" borderId="4" xfId="0" applyNumberFormat="1" applyFont="1" applyBorder="1" applyAlignment="1">
      <alignment horizontal="center" vertical="center" wrapText="1"/>
    </xf>
    <xf numFmtId="167" fontId="22" fillId="10" borderId="7" xfId="1" applyNumberFormat="1" applyFont="1" applyFill="1" applyBorder="1" applyAlignment="1">
      <alignment horizontal="left" vertical="center" wrapText="1"/>
    </xf>
    <xf numFmtId="167" fontId="22" fillId="10" borderId="6" xfId="1" applyNumberFormat="1" applyFont="1" applyFill="1" applyBorder="1" applyAlignment="1">
      <alignment horizontal="left" vertical="center" wrapText="1"/>
    </xf>
    <xf numFmtId="167" fontId="22" fillId="10" borderId="8" xfId="1" applyNumberFormat="1" applyFont="1" applyFill="1" applyBorder="1" applyAlignment="1">
      <alignment horizontal="left" vertical="center" wrapText="1"/>
    </xf>
    <xf numFmtId="167" fontId="43" fillId="8" borderId="7" xfId="1" applyNumberFormat="1" applyFont="1" applyFill="1" applyBorder="1" applyAlignment="1">
      <alignment horizontal="center" vertical="center" wrapText="1"/>
    </xf>
    <xf numFmtId="167" fontId="43" fillId="8" borderId="8" xfId="1" applyNumberFormat="1" applyFont="1" applyFill="1" applyBorder="1" applyAlignment="1">
      <alignment horizontal="center" vertical="center" wrapText="1"/>
    </xf>
    <xf numFmtId="167" fontId="24" fillId="7" borderId="6" xfId="1" applyNumberFormat="1" applyFont="1" applyFill="1" applyBorder="1" applyAlignment="1">
      <alignment horizontal="center" vertical="center" wrapText="1"/>
    </xf>
    <xf numFmtId="167" fontId="24" fillId="7" borderId="8" xfId="1" applyNumberFormat="1" applyFont="1" applyFill="1" applyBorder="1" applyAlignment="1">
      <alignment horizontal="center" vertical="center" wrapText="1"/>
    </xf>
    <xf numFmtId="0" fontId="29" fillId="8" borderId="7" xfId="0" applyFont="1" applyFill="1" applyBorder="1" applyAlignment="1">
      <alignment horizontal="center" vertical="center" wrapText="1"/>
    </xf>
    <xf numFmtId="0" fontId="29" fillId="8" borderId="6" xfId="0" applyFont="1" applyFill="1" applyBorder="1" applyAlignment="1">
      <alignment horizontal="center" vertical="center" wrapText="1"/>
    </xf>
    <xf numFmtId="0" fontId="29" fillId="8" borderId="8"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42" fillId="8" borderId="7" xfId="0" quotePrefix="1" applyFont="1" applyFill="1" applyBorder="1" applyAlignment="1">
      <alignment horizontal="center" vertical="center" wrapText="1"/>
    </xf>
    <xf numFmtId="0" fontId="42" fillId="8" borderId="8" xfId="0" applyFont="1" applyFill="1" applyBorder="1" applyAlignment="1">
      <alignment horizontal="center" vertical="center" wrapText="1"/>
    </xf>
    <xf numFmtId="0" fontId="29" fillId="7" borderId="7" xfId="0" applyFont="1" applyFill="1" applyBorder="1" applyAlignment="1">
      <alignment horizontal="center" vertical="center" wrapText="1"/>
    </xf>
    <xf numFmtId="0" fontId="29" fillId="7" borderId="6" xfId="0" applyFont="1" applyFill="1" applyBorder="1" applyAlignment="1">
      <alignment horizontal="center" vertical="center" wrapText="1"/>
    </xf>
    <xf numFmtId="0" fontId="29" fillId="7" borderId="8" xfId="0" applyFont="1" applyFill="1" applyBorder="1" applyAlignment="1">
      <alignment horizontal="center" vertical="center" wrapText="1"/>
    </xf>
    <xf numFmtId="168" fontId="43" fillId="8" borderId="7" xfId="1" applyNumberFormat="1" applyFont="1" applyFill="1" applyBorder="1" applyAlignment="1">
      <alignment horizontal="center" vertical="center" wrapText="1"/>
    </xf>
    <xf numFmtId="168" fontId="43" fillId="8" borderId="8" xfId="1" applyNumberFormat="1" applyFont="1" applyFill="1" applyBorder="1" applyAlignment="1">
      <alignment horizontal="center" vertical="center" wrapText="1"/>
    </xf>
    <xf numFmtId="0" fontId="20" fillId="0" borderId="1" xfId="0" applyFont="1" applyBorder="1" applyAlignment="1">
      <alignment horizontal="left" vertical="top" wrapText="1"/>
    </xf>
    <xf numFmtId="0" fontId="21" fillId="0" borderId="5" xfId="0" applyFont="1" applyBorder="1" applyAlignment="1">
      <alignment horizontal="center" vertical="center" wrapText="1"/>
    </xf>
    <xf numFmtId="0" fontId="29" fillId="3" borderId="1" xfId="0" applyFont="1" applyFill="1" applyBorder="1" applyAlignment="1">
      <alignment horizontal="center" vertical="center" wrapText="1"/>
    </xf>
    <xf numFmtId="0" fontId="33" fillId="0" borderId="1" xfId="0" applyFont="1" applyBorder="1" applyAlignment="1">
      <alignment horizontal="left" vertical="top" wrapText="1"/>
    </xf>
    <xf numFmtId="169" fontId="22" fillId="10" borderId="1" xfId="0" applyNumberFormat="1" applyFont="1" applyFill="1" applyBorder="1" applyAlignment="1">
      <alignment horizontal="center" vertical="center" wrapText="1"/>
    </xf>
    <xf numFmtId="0" fontId="22" fillId="10" borderId="1" xfId="0" applyFont="1" applyFill="1" applyBorder="1" applyAlignment="1">
      <alignment horizontal="center" vertical="center" wrapText="1"/>
    </xf>
    <xf numFmtId="0" fontId="11" fillId="3" borderId="7"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1" fillId="3" borderId="7" xfId="0" quotePrefix="1" applyFont="1" applyFill="1" applyBorder="1" applyAlignment="1">
      <alignment horizontal="left" vertical="center" wrapText="1"/>
    </xf>
    <xf numFmtId="0" fontId="21" fillId="0" borderId="5" xfId="0" applyFont="1" applyBorder="1" applyAlignment="1">
      <alignment vertical="center" wrapText="1"/>
    </xf>
    <xf numFmtId="0" fontId="15" fillId="3" borderId="1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24" fillId="7" borderId="6" xfId="0" applyFont="1" applyFill="1" applyBorder="1" applyAlignment="1">
      <alignment horizontal="center" vertical="center" wrapText="1"/>
    </xf>
    <xf numFmtId="0" fontId="24" fillId="7" borderId="8" xfId="0" applyFont="1" applyFill="1" applyBorder="1" applyAlignment="1">
      <alignment horizontal="center" vertical="center" wrapText="1"/>
    </xf>
    <xf numFmtId="0" fontId="21" fillId="0" borderId="1" xfId="0" applyFont="1" applyBorder="1" applyAlignment="1">
      <alignment horizontal="left" vertical="center" wrapText="1"/>
    </xf>
    <xf numFmtId="0" fontId="5" fillId="0" borderId="1" xfId="0" applyFont="1" applyBorder="1" applyAlignment="1">
      <alignment horizontal="left" vertical="center" wrapText="1"/>
    </xf>
    <xf numFmtId="0" fontId="11" fillId="12" borderId="0" xfId="0" applyFont="1" applyFill="1" applyAlignment="1">
      <alignment horizontal="left" vertical="center" wrapText="1"/>
    </xf>
    <xf numFmtId="0" fontId="46" fillId="8" borderId="7" xfId="0" quotePrefix="1" applyFont="1" applyFill="1" applyBorder="1" applyAlignment="1">
      <alignment horizontal="center" vertical="center" wrapText="1"/>
    </xf>
    <xf numFmtId="0" fontId="46" fillId="8" borderId="8" xfId="0" applyFont="1" applyFill="1" applyBorder="1" applyAlignment="1">
      <alignment horizontal="center" vertical="center" wrapText="1"/>
    </xf>
    <xf numFmtId="0" fontId="20" fillId="3" borderId="7" xfId="0" applyFont="1" applyFill="1" applyBorder="1" applyAlignment="1">
      <alignment horizontal="left" vertical="center" wrapText="1"/>
    </xf>
    <xf numFmtId="0" fontId="20" fillId="3" borderId="6" xfId="0" applyFont="1" applyFill="1" applyBorder="1" applyAlignment="1">
      <alignment horizontal="left" vertical="center"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8" fillId="12" borderId="0" xfId="0" applyFont="1" applyFill="1" applyAlignment="1">
      <alignment horizontal="left" vertical="center" wrapText="1"/>
    </xf>
    <xf numFmtId="0" fontId="29" fillId="7"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3" fillId="0" borderId="1" xfId="0" applyFont="1" applyBorder="1" applyAlignment="1">
      <alignment horizontal="left" vertical="center" wrapText="1"/>
    </xf>
    <xf numFmtId="0" fontId="20" fillId="0" borderId="0" xfId="0" applyFont="1" applyAlignment="1">
      <alignment horizontal="left" vertical="top" wrapText="1"/>
    </xf>
    <xf numFmtId="0" fontId="47" fillId="0" borderId="0" xfId="0" applyFont="1" applyAlignment="1">
      <alignment horizontal="left" vertical="top" wrapText="1"/>
    </xf>
    <xf numFmtId="0" fontId="5" fillId="0" borderId="1" xfId="0" applyFont="1" applyBorder="1" applyAlignment="1">
      <alignment horizontal="left" vertical="top" wrapText="1"/>
    </xf>
    <xf numFmtId="169" fontId="20" fillId="5" borderId="7" xfId="0" applyNumberFormat="1" applyFont="1" applyFill="1" applyBorder="1" applyAlignment="1">
      <alignment horizontal="center" vertical="center" wrapText="1"/>
    </xf>
    <xf numFmtId="0" fontId="20" fillId="5" borderId="6"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1" fillId="0" borderId="1" xfId="0" quotePrefix="1" applyFont="1" applyBorder="1" applyAlignment="1">
      <alignment horizontal="left" vertical="top" wrapText="1"/>
    </xf>
    <xf numFmtId="169" fontId="36" fillId="7" borderId="7" xfId="0" applyNumberFormat="1" applyFont="1" applyFill="1" applyBorder="1" applyAlignment="1">
      <alignment horizontal="center" vertical="center" wrapText="1"/>
    </xf>
    <xf numFmtId="0" fontId="36" fillId="7" borderId="6"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21" fillId="0" borderId="1" xfId="0" applyFont="1" applyBorder="1" applyAlignment="1">
      <alignment horizontal="left" vertical="top" wrapText="1"/>
    </xf>
    <xf numFmtId="0" fontId="22" fillId="7" borderId="6" xfId="0" applyFont="1" applyFill="1" applyBorder="1" applyAlignment="1">
      <alignment horizontal="center" vertical="center" wrapText="1"/>
    </xf>
    <xf numFmtId="0" fontId="22" fillId="7" borderId="8" xfId="0" applyFont="1" applyFill="1" applyBorder="1" applyAlignment="1">
      <alignment horizontal="center" vertical="center" wrapText="1"/>
    </xf>
    <xf numFmtId="167" fontId="22" fillId="10" borderId="6" xfId="1" applyNumberFormat="1" applyFont="1" applyFill="1" applyBorder="1" applyAlignment="1">
      <alignment horizontal="right" vertical="center" wrapText="1"/>
    </xf>
    <xf numFmtId="167" fontId="22" fillId="10" borderId="8" xfId="1" applyNumberFormat="1" applyFont="1" applyFill="1" applyBorder="1" applyAlignment="1">
      <alignment horizontal="right" vertical="center" wrapText="1"/>
    </xf>
    <xf numFmtId="167" fontId="22" fillId="5" borderId="7" xfId="1" applyNumberFormat="1" applyFont="1" applyFill="1" applyBorder="1" applyAlignment="1">
      <alignment horizontal="right" vertical="center" wrapText="1"/>
    </xf>
    <xf numFmtId="167" fontId="22" fillId="5" borderId="6" xfId="1" applyNumberFormat="1" applyFont="1" applyFill="1" applyBorder="1" applyAlignment="1">
      <alignment horizontal="right" vertical="center" wrapText="1"/>
    </xf>
    <xf numFmtId="167" fontId="22" fillId="5" borderId="8" xfId="1" applyNumberFormat="1" applyFont="1" applyFill="1" applyBorder="1" applyAlignment="1">
      <alignment horizontal="right" vertical="center" wrapText="1"/>
    </xf>
    <xf numFmtId="168" fontId="18" fillId="8" borderId="7" xfId="1" applyNumberFormat="1" applyFont="1" applyFill="1" applyBorder="1" applyAlignment="1">
      <alignment horizontal="right" vertical="center" wrapText="1"/>
    </xf>
    <xf numFmtId="168" fontId="18" fillId="8" borderId="8" xfId="1" applyNumberFormat="1" applyFont="1" applyFill="1" applyBorder="1" applyAlignment="1">
      <alignment horizontal="right" vertical="center" wrapText="1"/>
    </xf>
    <xf numFmtId="164" fontId="29" fillId="7" borderId="7" xfId="0" applyNumberFormat="1" applyFont="1" applyFill="1" applyBorder="1" applyAlignment="1">
      <alignment horizontal="center" vertical="center" wrapText="1"/>
    </xf>
    <xf numFmtId="167" fontId="24" fillId="7" borderId="7" xfId="1" applyNumberFormat="1" applyFont="1" applyFill="1" applyBorder="1" applyAlignment="1">
      <alignment horizontal="right" vertical="center" wrapText="1"/>
    </xf>
    <xf numFmtId="167" fontId="24" fillId="7" borderId="6" xfId="1" applyNumberFormat="1" applyFont="1" applyFill="1" applyBorder="1" applyAlignment="1">
      <alignment horizontal="right" vertical="center" wrapText="1"/>
    </xf>
    <xf numFmtId="167" fontId="24" fillId="7" borderId="8" xfId="1" applyNumberFormat="1" applyFont="1" applyFill="1" applyBorder="1" applyAlignment="1">
      <alignment horizontal="right" vertical="center" wrapText="1"/>
    </xf>
    <xf numFmtId="168" fontId="44" fillId="8" borderId="7" xfId="1" applyNumberFormat="1" applyFont="1" applyFill="1" applyBorder="1" applyAlignment="1">
      <alignment horizontal="center" vertical="center" wrapText="1"/>
    </xf>
    <xf numFmtId="168" fontId="44" fillId="8" borderId="8" xfId="1" applyNumberFormat="1" applyFont="1" applyFill="1" applyBorder="1" applyAlignment="1">
      <alignment horizontal="center" vertical="center" wrapText="1"/>
    </xf>
    <xf numFmtId="167" fontId="22" fillId="10" borderId="7" xfId="1" applyNumberFormat="1" applyFont="1" applyFill="1" applyBorder="1" applyAlignment="1">
      <alignment horizontal="right" vertical="center" wrapText="1"/>
    </xf>
    <xf numFmtId="169" fontId="30"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167" fontId="36" fillId="7" borderId="7" xfId="1" applyNumberFormat="1" applyFont="1" applyFill="1" applyBorder="1" applyAlignment="1">
      <alignment horizontal="right" vertical="center" wrapText="1"/>
    </xf>
    <xf numFmtId="167" fontId="36" fillId="7" borderId="6" xfId="1" applyNumberFormat="1" applyFont="1" applyFill="1" applyBorder="1" applyAlignment="1">
      <alignment horizontal="right" vertical="center" wrapText="1"/>
    </xf>
    <xf numFmtId="167" fontId="36" fillId="7" borderId="8" xfId="1" applyNumberFormat="1" applyFont="1" applyFill="1" applyBorder="1" applyAlignment="1">
      <alignment horizontal="right" vertical="center" wrapText="1"/>
    </xf>
    <xf numFmtId="167" fontId="20" fillId="5" borderId="7" xfId="1" applyNumberFormat="1" applyFont="1" applyFill="1" applyBorder="1" applyAlignment="1">
      <alignment horizontal="right" vertical="center" wrapText="1"/>
    </xf>
    <xf numFmtId="167" fontId="20" fillId="5" borderId="6" xfId="1" applyNumberFormat="1" applyFont="1" applyFill="1" applyBorder="1" applyAlignment="1">
      <alignment horizontal="right" vertical="center" wrapText="1"/>
    </xf>
    <xf numFmtId="167" fontId="20" fillId="5" borderId="8" xfId="1" applyNumberFormat="1" applyFont="1" applyFill="1" applyBorder="1" applyAlignment="1">
      <alignment horizontal="right" vertical="center" wrapText="1"/>
    </xf>
    <xf numFmtId="0" fontId="24" fillId="7" borderId="1" xfId="0" applyFont="1" applyFill="1" applyBorder="1" applyAlignment="1">
      <alignment horizontal="center" vertical="top" wrapText="1"/>
    </xf>
    <xf numFmtId="169" fontId="22" fillId="10" borderId="7" xfId="0" applyNumberFormat="1" applyFont="1" applyFill="1" applyBorder="1" applyAlignment="1">
      <alignment horizontal="center" vertical="center" wrapText="1"/>
    </xf>
    <xf numFmtId="0" fontId="22" fillId="10" borderId="6" xfId="0" applyFont="1" applyFill="1" applyBorder="1" applyAlignment="1">
      <alignment horizontal="center" vertical="center" wrapText="1"/>
    </xf>
    <xf numFmtId="0" fontId="22" fillId="10" borderId="8" xfId="0" applyFont="1" applyFill="1" applyBorder="1" applyAlignment="1">
      <alignment horizontal="center" vertical="center" wrapText="1"/>
    </xf>
    <xf numFmtId="169" fontId="20" fillId="10" borderId="7" xfId="0" applyNumberFormat="1" applyFont="1" applyFill="1" applyBorder="1" applyAlignment="1">
      <alignment horizontal="center" vertical="center" wrapText="1"/>
    </xf>
    <xf numFmtId="0" fontId="20" fillId="10" borderId="6" xfId="0" applyFont="1" applyFill="1" applyBorder="1" applyAlignment="1">
      <alignment horizontal="center" vertical="center" wrapText="1"/>
    </xf>
    <xf numFmtId="0" fontId="20" fillId="10" borderId="8" xfId="0" applyFont="1" applyFill="1" applyBorder="1" applyAlignment="1">
      <alignment horizontal="center" vertical="center" wrapText="1"/>
    </xf>
    <xf numFmtId="169" fontId="22" fillId="5" borderId="7" xfId="0" applyNumberFormat="1" applyFont="1" applyFill="1" applyBorder="1" applyAlignment="1">
      <alignment horizontal="center" vertical="center" wrapText="1"/>
    </xf>
    <xf numFmtId="0" fontId="22" fillId="5" borderId="6"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29" fillId="3" borderId="11" xfId="0" applyFont="1" applyFill="1" applyBorder="1" applyAlignment="1">
      <alignment horizontal="center" vertical="center" wrapText="1"/>
    </xf>
    <xf numFmtId="0" fontId="29" fillId="3" borderId="4" xfId="0" applyFont="1" applyFill="1" applyBorder="1" applyAlignment="1">
      <alignment horizontal="center" vertical="center" wrapText="1"/>
    </xf>
    <xf numFmtId="0" fontId="29" fillId="3" borderId="14" xfId="0" applyFont="1" applyFill="1" applyBorder="1" applyAlignment="1">
      <alignment horizontal="center" vertical="center" wrapText="1"/>
    </xf>
    <xf numFmtId="0" fontId="29" fillId="7" borderId="1" xfId="0" applyFont="1" applyFill="1" applyBorder="1" applyAlignment="1">
      <alignment horizontal="center" vertical="top" wrapText="1"/>
    </xf>
    <xf numFmtId="164" fontId="22" fillId="10" borderId="7" xfId="1" applyFont="1" applyFill="1" applyBorder="1" applyAlignment="1">
      <alignment horizontal="center" vertical="center" wrapText="1"/>
    </xf>
    <xf numFmtId="164" fontId="22" fillId="10" borderId="6" xfId="1" applyFont="1" applyFill="1" applyBorder="1" applyAlignment="1">
      <alignment horizontal="center" vertical="center" wrapText="1"/>
    </xf>
    <xf numFmtId="164" fontId="22" fillId="10" borderId="8" xfId="1" applyFont="1" applyFill="1" applyBorder="1" applyAlignment="1">
      <alignment horizontal="center" vertical="center" wrapText="1"/>
    </xf>
    <xf numFmtId="164" fontId="22" fillId="5" borderId="7" xfId="1" applyFont="1" applyFill="1" applyBorder="1" applyAlignment="1">
      <alignment horizontal="center" vertical="center" wrapText="1"/>
    </xf>
    <xf numFmtId="164" fontId="22" fillId="5" borderId="6" xfId="1" applyFont="1" applyFill="1" applyBorder="1" applyAlignment="1">
      <alignment horizontal="center" vertical="center" wrapText="1"/>
    </xf>
    <xf numFmtId="164" fontId="22" fillId="5" borderId="8" xfId="1" applyFont="1" applyFill="1" applyBorder="1" applyAlignment="1">
      <alignment horizontal="center" vertical="center" wrapText="1"/>
    </xf>
    <xf numFmtId="0" fontId="11" fillId="0" borderId="6" xfId="0" applyFont="1" applyBorder="1" applyAlignment="1">
      <alignment horizontal="left" vertical="top"/>
    </xf>
    <xf numFmtId="0" fontId="11" fillId="0" borderId="8" xfId="0" applyFont="1" applyBorder="1" applyAlignment="1">
      <alignment horizontal="left" vertical="top"/>
    </xf>
    <xf numFmtId="164" fontId="11" fillId="10" borderId="7" xfId="1" applyFont="1" applyFill="1" applyBorder="1" applyAlignment="1">
      <alignment horizontal="center" vertical="center" wrapText="1"/>
    </xf>
    <xf numFmtId="164" fontId="11" fillId="10" borderId="6" xfId="1" applyFont="1" applyFill="1" applyBorder="1" applyAlignment="1">
      <alignment horizontal="center" vertical="center" wrapText="1"/>
    </xf>
    <xf numFmtId="164" fontId="11" fillId="10" borderId="8" xfId="1" applyFont="1" applyFill="1" applyBorder="1" applyAlignment="1">
      <alignment horizontal="center" vertical="center" wrapText="1"/>
    </xf>
    <xf numFmtId="164" fontId="11" fillId="5" borderId="7" xfId="1" applyFont="1" applyFill="1" applyBorder="1" applyAlignment="1">
      <alignment horizontal="center" vertical="center" wrapText="1"/>
    </xf>
    <xf numFmtId="164" fontId="11" fillId="5" borderId="6" xfId="1" applyFont="1" applyFill="1" applyBorder="1" applyAlignment="1">
      <alignment horizontal="center" vertical="center" wrapText="1"/>
    </xf>
    <xf numFmtId="164" fontId="11" fillId="5" borderId="8" xfId="1" applyFont="1" applyFill="1" applyBorder="1" applyAlignment="1">
      <alignment horizontal="center" vertical="center" wrapText="1"/>
    </xf>
    <xf numFmtId="164" fontId="11" fillId="10" borderId="7" xfId="0" applyNumberFormat="1" applyFont="1" applyFill="1" applyBorder="1" applyAlignment="1">
      <alignment horizontal="center" vertical="center" wrapText="1"/>
    </xf>
    <xf numFmtId="164" fontId="11" fillId="10" borderId="6" xfId="0" applyNumberFormat="1" applyFont="1" applyFill="1" applyBorder="1" applyAlignment="1">
      <alignment horizontal="center" vertical="center" wrapText="1"/>
    </xf>
    <xf numFmtId="164" fontId="11" fillId="10" borderId="8" xfId="0" applyNumberFormat="1" applyFont="1" applyFill="1" applyBorder="1" applyAlignment="1">
      <alignment horizontal="center" vertical="center" wrapText="1"/>
    </xf>
    <xf numFmtId="164" fontId="11" fillId="11" borderId="7" xfId="0" applyNumberFormat="1" applyFont="1" applyFill="1" applyBorder="1" applyAlignment="1">
      <alignment horizontal="center" vertical="center" wrapText="1"/>
    </xf>
    <xf numFmtId="164" fontId="11" fillId="11" borderId="6" xfId="0" applyNumberFormat="1" applyFont="1" applyFill="1" applyBorder="1" applyAlignment="1">
      <alignment horizontal="center" vertical="center" wrapText="1"/>
    </xf>
    <xf numFmtId="164" fontId="11" fillId="11" borderId="8" xfId="0" applyNumberFormat="1" applyFont="1" applyFill="1" applyBorder="1" applyAlignment="1">
      <alignment horizontal="center" vertical="center" wrapText="1"/>
    </xf>
    <xf numFmtId="167" fontId="11" fillId="11" borderId="7" xfId="0" applyNumberFormat="1" applyFont="1" applyFill="1" applyBorder="1" applyAlignment="1">
      <alignment horizontal="center" vertical="center" wrapText="1"/>
    </xf>
    <xf numFmtId="167" fontId="11" fillId="11" borderId="6" xfId="0" applyNumberFormat="1" applyFont="1" applyFill="1" applyBorder="1" applyAlignment="1">
      <alignment horizontal="center" vertical="center" wrapText="1"/>
    </xf>
    <xf numFmtId="167" fontId="11" fillId="11" borderId="8" xfId="0" applyNumberFormat="1" applyFont="1" applyFill="1" applyBorder="1" applyAlignment="1">
      <alignment horizontal="center" vertical="center" wrapText="1"/>
    </xf>
    <xf numFmtId="167" fontId="31" fillId="8" borderId="7" xfId="1" applyNumberFormat="1" applyFont="1" applyFill="1" applyBorder="1" applyAlignment="1">
      <alignment horizontal="left" vertical="center" wrapText="1"/>
    </xf>
    <xf numFmtId="167" fontId="31" fillId="8" borderId="8" xfId="1" applyNumberFormat="1" applyFont="1" applyFill="1" applyBorder="1" applyAlignment="1">
      <alignment horizontal="left" vertical="center" wrapText="1"/>
    </xf>
    <xf numFmtId="164" fontId="15" fillId="3" borderId="7" xfId="0" applyNumberFormat="1" applyFont="1" applyFill="1" applyBorder="1" applyAlignment="1">
      <alignment horizontal="center" vertical="center" wrapText="1"/>
    </xf>
    <xf numFmtId="164" fontId="15" fillId="3" borderId="6" xfId="0" applyNumberFormat="1" applyFont="1" applyFill="1" applyBorder="1" applyAlignment="1">
      <alignment horizontal="center" vertical="center" wrapText="1"/>
    </xf>
    <xf numFmtId="164" fontId="15" fillId="3" borderId="8" xfId="0" applyNumberFormat="1" applyFont="1" applyFill="1" applyBorder="1" applyAlignment="1">
      <alignment horizontal="center" vertical="center" wrapText="1"/>
    </xf>
    <xf numFmtId="167" fontId="35" fillId="8" borderId="7" xfId="1" applyNumberFormat="1" applyFont="1" applyFill="1" applyBorder="1" applyAlignment="1">
      <alignment horizontal="left" vertical="center" wrapText="1"/>
    </xf>
    <xf numFmtId="167" fontId="35" fillId="8" borderId="8" xfId="1" applyNumberFormat="1" applyFont="1" applyFill="1" applyBorder="1" applyAlignment="1">
      <alignment horizontal="left" vertical="center" wrapText="1"/>
    </xf>
    <xf numFmtId="0" fontId="15" fillId="3" borderId="9"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10" xfId="0" applyFont="1" applyFill="1" applyBorder="1" applyAlignment="1">
      <alignment horizontal="center" vertical="center" wrapText="1"/>
    </xf>
    <xf numFmtId="1" fontId="29" fillId="3" borderId="7" xfId="0" applyNumberFormat="1" applyFont="1" applyFill="1" applyBorder="1" applyAlignment="1">
      <alignment horizontal="center" vertical="center" wrapText="1"/>
    </xf>
    <xf numFmtId="1" fontId="29" fillId="3" borderId="6" xfId="0" applyNumberFormat="1" applyFont="1" applyFill="1" applyBorder="1" applyAlignment="1">
      <alignment horizontal="center" vertical="center" wrapText="1"/>
    </xf>
    <xf numFmtId="1" fontId="29" fillId="3" borderId="8" xfId="0" applyNumberFormat="1" applyFont="1" applyFill="1" applyBorder="1" applyAlignment="1">
      <alignment horizontal="center" vertical="center" wrapText="1"/>
    </xf>
    <xf numFmtId="0" fontId="29" fillId="8" borderId="11" xfId="0" quotePrefix="1" applyFont="1" applyFill="1" applyBorder="1" applyAlignment="1">
      <alignment horizontal="center" vertical="center" wrapText="1"/>
    </xf>
    <xf numFmtId="0" fontId="29" fillId="8" borderId="14" xfId="0" quotePrefix="1" applyFont="1" applyFill="1" applyBorder="1" applyAlignment="1">
      <alignment horizontal="center" vertical="center" wrapText="1"/>
    </xf>
    <xf numFmtId="0" fontId="29" fillId="8" borderId="9" xfId="0" quotePrefix="1" applyFont="1" applyFill="1" applyBorder="1" applyAlignment="1">
      <alignment horizontal="center" vertical="center" wrapText="1"/>
    </xf>
    <xf numFmtId="0" fontId="29" fillId="8" borderId="10" xfId="0" quotePrefix="1" applyFont="1" applyFill="1" applyBorder="1" applyAlignment="1">
      <alignment horizontal="center" vertical="center" wrapText="1"/>
    </xf>
    <xf numFmtId="0" fontId="20" fillId="0" borderId="7" xfId="0" applyFont="1" applyBorder="1" applyAlignment="1">
      <alignment horizontal="left" vertical="top" wrapText="1"/>
    </xf>
    <xf numFmtId="0" fontId="20" fillId="0" borderId="6" xfId="0" applyFont="1" applyBorder="1" applyAlignment="1">
      <alignment horizontal="left" vertical="top" wrapText="1"/>
    </xf>
    <xf numFmtId="0" fontId="20" fillId="0" borderId="8" xfId="0" applyFont="1" applyBorder="1" applyAlignment="1">
      <alignment horizontal="left" vertical="top" wrapText="1"/>
    </xf>
    <xf numFmtId="164" fontId="20" fillId="10" borderId="7" xfId="0" applyNumberFormat="1" applyFont="1" applyFill="1" applyBorder="1" applyAlignment="1">
      <alignment horizontal="center" vertical="center" wrapText="1"/>
    </xf>
    <xf numFmtId="164" fontId="20" fillId="10" borderId="6" xfId="0" applyNumberFormat="1" applyFont="1" applyFill="1" applyBorder="1" applyAlignment="1">
      <alignment horizontal="center" vertical="center" wrapText="1"/>
    </xf>
    <xf numFmtId="164" fontId="20" fillId="10" borderId="8" xfId="0" applyNumberFormat="1" applyFont="1" applyFill="1" applyBorder="1" applyAlignment="1">
      <alignment horizontal="center" vertical="center" wrapText="1"/>
    </xf>
    <xf numFmtId="164" fontId="20" fillId="5" borderId="7" xfId="0" applyNumberFormat="1" applyFont="1" applyFill="1" applyBorder="1" applyAlignment="1">
      <alignment horizontal="center" vertical="center" wrapText="1"/>
    </xf>
    <xf numFmtId="164" fontId="20" fillId="5" borderId="6" xfId="0" applyNumberFormat="1" applyFont="1" applyFill="1" applyBorder="1" applyAlignment="1">
      <alignment horizontal="center" vertical="center" wrapText="1"/>
    </xf>
    <xf numFmtId="164" fontId="20" fillId="5" borderId="8" xfId="0" applyNumberFormat="1" applyFont="1" applyFill="1" applyBorder="1" applyAlignment="1">
      <alignment horizontal="center" vertical="center" wrapText="1"/>
    </xf>
    <xf numFmtId="167" fontId="20" fillId="11" borderId="7" xfId="0" applyNumberFormat="1" applyFont="1" applyFill="1" applyBorder="1" applyAlignment="1">
      <alignment horizontal="center" vertical="center" wrapText="1"/>
    </xf>
    <xf numFmtId="167" fontId="20" fillId="11" borderId="6" xfId="0" applyNumberFormat="1" applyFont="1" applyFill="1" applyBorder="1" applyAlignment="1">
      <alignment horizontal="center" vertical="center" wrapText="1"/>
    </xf>
    <xf numFmtId="167" fontId="20" fillId="11" borderId="8" xfId="0" applyNumberFormat="1" applyFont="1" applyFill="1" applyBorder="1" applyAlignment="1">
      <alignment horizontal="center" vertical="center" wrapText="1"/>
    </xf>
    <xf numFmtId="164" fontId="29" fillId="3" borderId="7" xfId="0" applyNumberFormat="1" applyFont="1" applyFill="1" applyBorder="1" applyAlignment="1">
      <alignment horizontal="center" vertical="center" wrapText="1"/>
    </xf>
    <xf numFmtId="164" fontId="29" fillId="3" borderId="6" xfId="0" applyNumberFormat="1" applyFont="1" applyFill="1" applyBorder="1" applyAlignment="1">
      <alignment horizontal="center" vertical="center" wrapText="1"/>
    </xf>
    <xf numFmtId="164" fontId="29" fillId="3" borderId="8" xfId="0" applyNumberFormat="1" applyFont="1" applyFill="1" applyBorder="1" applyAlignment="1">
      <alignment horizontal="center" vertical="center" wrapText="1"/>
    </xf>
    <xf numFmtId="0" fontId="29" fillId="3" borderId="11" xfId="0" applyFont="1" applyFill="1" applyBorder="1" applyAlignment="1">
      <alignment horizontal="center" vertical="center"/>
    </xf>
    <xf numFmtId="0" fontId="29" fillId="3" borderId="4" xfId="0" applyFont="1" applyFill="1" applyBorder="1" applyAlignment="1">
      <alignment horizontal="center" vertical="center"/>
    </xf>
    <xf numFmtId="0" fontId="29" fillId="3" borderId="14" xfId="0" applyFont="1" applyFill="1" applyBorder="1" applyAlignment="1">
      <alignment horizontal="center" vertical="center"/>
    </xf>
    <xf numFmtId="0" fontId="29" fillId="3" borderId="9" xfId="0" applyFont="1" applyFill="1" applyBorder="1" applyAlignment="1">
      <alignment horizontal="center" vertical="center"/>
    </xf>
    <xf numFmtId="0" fontId="29" fillId="3" borderId="5" xfId="0" applyFont="1" applyFill="1" applyBorder="1" applyAlignment="1">
      <alignment horizontal="center" vertical="center"/>
    </xf>
    <xf numFmtId="0" fontId="29" fillId="3" borderId="10" xfId="0" applyFont="1" applyFill="1" applyBorder="1" applyAlignment="1">
      <alignment horizontal="center" vertical="center"/>
    </xf>
    <xf numFmtId="0" fontId="15" fillId="0" borderId="7" xfId="0" applyFont="1" applyBorder="1" applyAlignment="1">
      <alignment horizontal="center" vertical="top" wrapText="1"/>
    </xf>
    <xf numFmtId="0" fontId="15" fillId="0" borderId="6" xfId="0" applyFont="1" applyBorder="1" applyAlignment="1">
      <alignment horizontal="center" vertical="top" wrapText="1"/>
    </xf>
    <xf numFmtId="0" fontId="15" fillId="0" borderId="8" xfId="0" applyFont="1" applyBorder="1" applyAlignment="1">
      <alignment horizontal="center" vertical="top" wrapText="1"/>
    </xf>
    <xf numFmtId="167" fontId="7" fillId="7" borderId="1" xfId="1" applyNumberFormat="1" applyFont="1" applyFill="1" applyBorder="1" applyAlignment="1">
      <alignment horizontal="left" vertical="top" wrapText="1"/>
    </xf>
    <xf numFmtId="0" fontId="15" fillId="0" borderId="0" xfId="0" applyFont="1" applyAlignment="1">
      <alignment horizontal="justify" vertical="center" wrapText="1"/>
    </xf>
    <xf numFmtId="0" fontId="40" fillId="0" borderId="0" xfId="0" applyFont="1" applyAlignment="1">
      <alignment horizontal="left" vertical="top" wrapText="1"/>
    </xf>
    <xf numFmtId="0" fontId="11" fillId="0" borderId="1" xfId="0" applyFont="1" applyBorder="1" applyAlignment="1">
      <alignment horizontal="justify" vertical="top" wrapText="1"/>
    </xf>
    <xf numFmtId="167" fontId="16" fillId="10" borderId="1" xfId="1" applyNumberFormat="1" applyFont="1" applyFill="1" applyBorder="1" applyAlignment="1">
      <alignment horizontal="left" vertical="center" wrapText="1"/>
    </xf>
    <xf numFmtId="0" fontId="11" fillId="0" borderId="0" xfId="0" applyFont="1" applyAlignment="1">
      <alignment horizontal="justify" vertical="center" wrapText="1"/>
    </xf>
    <xf numFmtId="0" fontId="7" fillId="3" borderId="1" xfId="0" applyFont="1" applyFill="1" applyBorder="1" applyAlignment="1">
      <alignment horizontal="center" vertical="center" wrapText="1"/>
    </xf>
    <xf numFmtId="167" fontId="37" fillId="7" borderId="1" xfId="1" applyNumberFormat="1" applyFont="1" applyFill="1" applyBorder="1" applyAlignment="1">
      <alignment horizontal="left" vertical="top" wrapText="1"/>
    </xf>
    <xf numFmtId="0" fontId="33" fillId="0" borderId="7" xfId="0" applyFont="1" applyBorder="1" applyAlignment="1">
      <alignment horizontal="left" vertical="top" wrapText="1"/>
    </xf>
    <xf numFmtId="0" fontId="33" fillId="0" borderId="6" xfId="0" applyFont="1" applyBorder="1" applyAlignment="1">
      <alignment horizontal="left" vertical="top" wrapText="1"/>
    </xf>
    <xf numFmtId="0" fontId="33" fillId="0" borderId="8" xfId="0" applyFont="1" applyBorder="1" applyAlignment="1">
      <alignment horizontal="left" vertical="top" wrapText="1"/>
    </xf>
    <xf numFmtId="167" fontId="20" fillId="10" borderId="7" xfId="0" applyNumberFormat="1" applyFont="1" applyFill="1" applyBorder="1" applyAlignment="1">
      <alignment horizontal="center" vertical="center" wrapText="1"/>
    </xf>
    <xf numFmtId="167" fontId="20" fillId="10" borderId="6" xfId="0" applyNumberFormat="1" applyFont="1" applyFill="1" applyBorder="1" applyAlignment="1">
      <alignment horizontal="center" vertical="center" wrapText="1"/>
    </xf>
    <xf numFmtId="167" fontId="20" fillId="10" borderId="8" xfId="0" applyNumberFormat="1" applyFont="1" applyFill="1" applyBorder="1" applyAlignment="1">
      <alignment horizontal="center" vertical="center" wrapText="1"/>
    </xf>
    <xf numFmtId="167" fontId="20" fillId="5" borderId="7" xfId="0" applyNumberFormat="1" applyFont="1" applyFill="1" applyBorder="1" applyAlignment="1">
      <alignment horizontal="right" vertical="top" wrapText="1"/>
    </xf>
    <xf numFmtId="167" fontId="20" fillId="5" borderId="6" xfId="0" applyNumberFormat="1" applyFont="1" applyFill="1" applyBorder="1" applyAlignment="1">
      <alignment horizontal="right" vertical="top" wrapText="1"/>
    </xf>
    <xf numFmtId="167" fontId="20" fillId="5" borderId="8" xfId="0" applyNumberFormat="1" applyFont="1" applyFill="1" applyBorder="1" applyAlignment="1">
      <alignment horizontal="right" vertical="top" wrapText="1"/>
    </xf>
    <xf numFmtId="167" fontId="34" fillId="11" borderId="7" xfId="0" applyNumberFormat="1" applyFont="1" applyFill="1" applyBorder="1" applyAlignment="1">
      <alignment horizontal="center" vertical="center" wrapText="1"/>
    </xf>
    <xf numFmtId="167" fontId="34" fillId="11" borderId="6" xfId="0" applyNumberFormat="1" applyFont="1" applyFill="1" applyBorder="1" applyAlignment="1">
      <alignment horizontal="center" vertical="center" wrapText="1"/>
    </xf>
    <xf numFmtId="167" fontId="34" fillId="11" borderId="8" xfId="0" applyNumberFormat="1" applyFont="1" applyFill="1" applyBorder="1" applyAlignment="1">
      <alignment horizontal="center" vertical="center" wrapText="1"/>
    </xf>
    <xf numFmtId="167" fontId="29" fillId="7" borderId="7" xfId="0" applyNumberFormat="1" applyFont="1" applyFill="1" applyBorder="1" applyAlignment="1">
      <alignment horizontal="center" vertical="center" wrapText="1"/>
    </xf>
    <xf numFmtId="167" fontId="29" fillId="7" borderId="6" xfId="0" applyNumberFormat="1" applyFont="1" applyFill="1" applyBorder="1" applyAlignment="1">
      <alignment horizontal="center" vertical="center" wrapText="1"/>
    </xf>
    <xf numFmtId="167" fontId="29" fillId="7" borderId="8" xfId="0" applyNumberFormat="1" applyFont="1" applyFill="1" applyBorder="1" applyAlignment="1">
      <alignment horizontal="center" vertical="center" wrapText="1"/>
    </xf>
    <xf numFmtId="167" fontId="24" fillId="7" borderId="7" xfId="0" applyNumberFormat="1" applyFont="1" applyFill="1" applyBorder="1" applyAlignment="1">
      <alignment horizontal="center" vertical="center" wrapText="1"/>
    </xf>
    <xf numFmtId="167" fontId="24" fillId="7" borderId="6" xfId="0" applyNumberFormat="1" applyFont="1" applyFill="1" applyBorder="1" applyAlignment="1">
      <alignment horizontal="center" vertical="center" wrapText="1"/>
    </xf>
    <xf numFmtId="167" fontId="24" fillId="7" borderId="8" xfId="0" applyNumberFormat="1" applyFont="1" applyFill="1" applyBorder="1" applyAlignment="1">
      <alignment horizontal="center" vertical="center" wrapText="1"/>
    </xf>
    <xf numFmtId="167" fontId="36" fillId="7" borderId="7" xfId="0" applyNumberFormat="1" applyFont="1" applyFill="1" applyBorder="1" applyAlignment="1">
      <alignment horizontal="center" vertical="center" wrapText="1"/>
    </xf>
    <xf numFmtId="167" fontId="36" fillId="7" borderId="6" xfId="0" applyNumberFormat="1" applyFont="1" applyFill="1" applyBorder="1" applyAlignment="1">
      <alignment horizontal="center" vertical="center" wrapText="1"/>
    </xf>
    <xf numFmtId="167" fontId="36" fillId="7" borderId="8" xfId="0" applyNumberFormat="1" applyFont="1" applyFill="1" applyBorder="1" applyAlignment="1">
      <alignment horizontal="center" vertical="center" wrapText="1"/>
    </xf>
    <xf numFmtId="167" fontId="29" fillId="5" borderId="7" xfId="0" applyNumberFormat="1" applyFont="1" applyFill="1" applyBorder="1" applyAlignment="1">
      <alignment horizontal="right" vertical="top" wrapText="1"/>
    </xf>
    <xf numFmtId="167" fontId="29" fillId="5" borderId="6" xfId="0" applyNumberFormat="1" applyFont="1" applyFill="1" applyBorder="1" applyAlignment="1">
      <alignment horizontal="right" vertical="top" wrapText="1"/>
    </xf>
    <xf numFmtId="167" fontId="29" fillId="5" borderId="8" xfId="0" applyNumberFormat="1" applyFont="1" applyFill="1" applyBorder="1" applyAlignment="1">
      <alignment horizontal="right" vertical="top" wrapText="1"/>
    </xf>
    <xf numFmtId="0" fontId="20" fillId="0" borderId="7" xfId="0" applyFont="1" applyBorder="1" applyAlignment="1">
      <alignment horizontal="left" vertical="center" wrapText="1"/>
    </xf>
    <xf numFmtId="0" fontId="20" fillId="0" borderId="6" xfId="0" applyFont="1" applyBorder="1" applyAlignment="1">
      <alignment horizontal="left" vertical="center" wrapText="1"/>
    </xf>
    <xf numFmtId="0" fontId="20" fillId="0" borderId="8" xfId="0" applyFont="1" applyBorder="1" applyAlignment="1">
      <alignment horizontal="left" vertical="center" wrapText="1"/>
    </xf>
    <xf numFmtId="0" fontId="29" fillId="8" borderId="11" xfId="0" applyFont="1" applyFill="1" applyBorder="1" applyAlignment="1">
      <alignment horizontal="center" vertical="center" wrapText="1"/>
    </xf>
    <xf numFmtId="0" fontId="29" fillId="8" borderId="14" xfId="0" applyFont="1" applyFill="1" applyBorder="1" applyAlignment="1">
      <alignment horizontal="center" vertical="center" wrapText="1"/>
    </xf>
    <xf numFmtId="0" fontId="29" fillId="8" borderId="9" xfId="0" applyFont="1" applyFill="1" applyBorder="1" applyAlignment="1">
      <alignment horizontal="center" vertical="center" wrapText="1"/>
    </xf>
    <xf numFmtId="0" fontId="29" fillId="8" borderId="10" xfId="0" applyFont="1" applyFill="1" applyBorder="1" applyAlignment="1">
      <alignment horizontal="center" vertical="center" wrapText="1"/>
    </xf>
    <xf numFmtId="167" fontId="20" fillId="5" borderId="7" xfId="0" applyNumberFormat="1" applyFont="1" applyFill="1" applyBorder="1" applyAlignment="1">
      <alignment horizontal="center" vertical="center" wrapText="1"/>
    </xf>
    <xf numFmtId="167" fontId="20" fillId="5" borderId="6" xfId="0" applyNumberFormat="1" applyFont="1" applyFill="1" applyBorder="1" applyAlignment="1">
      <alignment horizontal="center" vertical="center" wrapText="1"/>
    </xf>
    <xf numFmtId="167" fontId="20" fillId="5" borderId="8" xfId="0" applyNumberFormat="1" applyFont="1" applyFill="1" applyBorder="1" applyAlignment="1">
      <alignment horizontal="center" vertical="center" wrapText="1"/>
    </xf>
    <xf numFmtId="0" fontId="29" fillId="0" borderId="7" xfId="0" applyFont="1" applyBorder="1" applyAlignment="1">
      <alignment horizontal="left" vertical="top" wrapText="1"/>
    </xf>
    <xf numFmtId="0" fontId="29" fillId="0" borderId="6" xfId="0" applyFont="1" applyBorder="1" applyAlignment="1">
      <alignment horizontal="left" vertical="top" wrapText="1"/>
    </xf>
    <xf numFmtId="0" fontId="29" fillId="0" borderId="8" xfId="0" applyFont="1" applyBorder="1" applyAlignment="1">
      <alignment horizontal="left" vertical="top" wrapText="1"/>
    </xf>
    <xf numFmtId="0" fontId="29" fillId="0" borderId="7" xfId="0" applyFont="1" applyBorder="1" applyAlignment="1">
      <alignment horizontal="left" vertical="center" wrapText="1"/>
    </xf>
    <xf numFmtId="0" fontId="29" fillId="0" borderId="6" xfId="0" applyFont="1" applyBorder="1" applyAlignment="1">
      <alignment horizontal="left" vertical="center" wrapText="1"/>
    </xf>
    <xf numFmtId="0" fontId="29" fillId="0" borderId="8" xfId="0" applyFont="1" applyBorder="1" applyAlignment="1">
      <alignment horizontal="left" vertical="center" wrapText="1"/>
    </xf>
    <xf numFmtId="43" fontId="20" fillId="10" borderId="7" xfId="2" applyFont="1" applyFill="1" applyBorder="1" applyAlignment="1">
      <alignment horizontal="center" vertical="center" wrapText="1"/>
    </xf>
    <xf numFmtId="43" fontId="20" fillId="10" borderId="6" xfId="2" applyFont="1" applyFill="1" applyBorder="1" applyAlignment="1">
      <alignment horizontal="center" vertical="center" wrapText="1"/>
    </xf>
    <xf numFmtId="43" fontId="20" fillId="10" borderId="8" xfId="2" applyFont="1" applyFill="1" applyBorder="1" applyAlignment="1">
      <alignment horizontal="center" vertical="center" wrapText="1"/>
    </xf>
    <xf numFmtId="43" fontId="20" fillId="5" borderId="7" xfId="2" applyFont="1" applyFill="1" applyBorder="1" applyAlignment="1">
      <alignment horizontal="center" vertical="center" wrapText="1"/>
    </xf>
    <xf numFmtId="43" fontId="20" fillId="5" borderId="6" xfId="2" applyFont="1" applyFill="1" applyBorder="1" applyAlignment="1">
      <alignment horizontal="center" vertical="center" wrapText="1"/>
    </xf>
    <xf numFmtId="43" fontId="20" fillId="5" borderId="8" xfId="2" applyFont="1" applyFill="1" applyBorder="1" applyAlignment="1">
      <alignment horizontal="center" vertical="center" wrapText="1"/>
    </xf>
    <xf numFmtId="43" fontId="34" fillId="11" borderId="7" xfId="2" applyFont="1" applyFill="1" applyBorder="1" applyAlignment="1">
      <alignment horizontal="center" vertical="center" wrapText="1"/>
    </xf>
    <xf numFmtId="43" fontId="34" fillId="11" borderId="6" xfId="2" applyFont="1" applyFill="1" applyBorder="1" applyAlignment="1">
      <alignment horizontal="center" vertical="center" wrapText="1"/>
    </xf>
    <xf numFmtId="43" fontId="34" fillId="11" borderId="8" xfId="2" applyFont="1" applyFill="1" applyBorder="1" applyAlignment="1">
      <alignment horizontal="center" vertical="center" wrapText="1"/>
    </xf>
    <xf numFmtId="0" fontId="30" fillId="0" borderId="1" xfId="0" quotePrefix="1" applyFont="1" applyBorder="1" applyAlignment="1">
      <alignment horizontal="center" vertical="center" wrapText="1"/>
    </xf>
    <xf numFmtId="0" fontId="6" fillId="0" borderId="1" xfId="0" applyFont="1" applyBorder="1" applyAlignment="1">
      <alignment horizontal="center" vertical="center" wrapText="1"/>
    </xf>
    <xf numFmtId="167" fontId="22" fillId="5" borderId="7" xfId="0" applyNumberFormat="1" applyFont="1" applyFill="1" applyBorder="1" applyAlignment="1">
      <alignment horizontal="center" vertical="center" wrapText="1"/>
    </xf>
    <xf numFmtId="167" fontId="22" fillId="5" borderId="6" xfId="0" applyNumberFormat="1" applyFont="1" applyFill="1" applyBorder="1" applyAlignment="1">
      <alignment horizontal="center" vertical="center" wrapText="1"/>
    </xf>
    <xf numFmtId="167" fontId="22" fillId="5" borderId="8" xfId="0" applyNumberFormat="1" applyFont="1" applyFill="1" applyBorder="1" applyAlignment="1">
      <alignment horizontal="center" vertical="center" wrapText="1"/>
    </xf>
    <xf numFmtId="0" fontId="31" fillId="8" borderId="7" xfId="1" applyNumberFormat="1" applyFont="1" applyFill="1" applyBorder="1" applyAlignment="1">
      <alignment horizontal="left" vertical="center" wrapText="1"/>
    </xf>
    <xf numFmtId="0" fontId="15" fillId="0" borderId="0" xfId="0" applyFont="1" applyAlignment="1">
      <alignment horizontal="center" vertical="top"/>
    </xf>
    <xf numFmtId="0" fontId="15" fillId="0" borderId="5" xfId="0" applyFont="1" applyBorder="1" applyAlignment="1">
      <alignment horizontal="center" vertical="top"/>
    </xf>
    <xf numFmtId="0" fontId="0" fillId="0" borderId="9" xfId="0" applyBorder="1"/>
    <xf numFmtId="0" fontId="0" fillId="0" borderId="5" xfId="0" applyBorder="1"/>
    <xf numFmtId="0" fontId="0" fillId="0" borderId="10" xfId="0" applyBorder="1"/>
    <xf numFmtId="0" fontId="28" fillId="0" borderId="0" xfId="0" applyFont="1" applyAlignment="1">
      <alignment horizontal="justify" vertical="center" wrapText="1"/>
    </xf>
    <xf numFmtId="0" fontId="28" fillId="0" borderId="0" xfId="0" applyFont="1" applyAlignment="1">
      <alignment vertical="top" wrapText="1"/>
    </xf>
    <xf numFmtId="0" fontId="16" fillId="0" borderId="0" xfId="0" applyFont="1" applyAlignment="1">
      <alignment horizontal="left" vertical="top"/>
    </xf>
    <xf numFmtId="0" fontId="7" fillId="0" borderId="0" xfId="0" applyFont="1" applyAlignment="1">
      <alignment horizontal="center" vertical="top" wrapText="1"/>
    </xf>
    <xf numFmtId="0" fontId="7" fillId="0" borderId="0" xfId="0" applyFont="1" applyAlignment="1">
      <alignment horizontal="justify" vertical="center" wrapText="1"/>
    </xf>
    <xf numFmtId="0" fontId="8" fillId="0" borderId="0" xfId="0" applyFont="1" applyAlignment="1">
      <alignment horizontal="left" vertical="top"/>
    </xf>
    <xf numFmtId="0" fontId="11" fillId="0" borderId="0" xfId="0" applyFont="1" applyAlignment="1">
      <alignment vertical="top" wrapText="1"/>
    </xf>
    <xf numFmtId="167" fontId="20" fillId="7" borderId="7" xfId="1" applyNumberFormat="1" applyFont="1" applyFill="1" applyBorder="1" applyAlignment="1">
      <alignment horizontal="center" vertical="top" wrapText="1"/>
    </xf>
    <xf numFmtId="167" fontId="20" fillId="7" borderId="6" xfId="1" applyNumberFormat="1" applyFont="1" applyFill="1" applyBorder="1" applyAlignment="1">
      <alignment horizontal="center" vertical="top" wrapText="1"/>
    </xf>
    <xf numFmtId="167" fontId="20" fillId="7" borderId="8" xfId="1" applyNumberFormat="1" applyFont="1" applyFill="1" applyBorder="1" applyAlignment="1">
      <alignment horizontal="center" vertical="top" wrapText="1"/>
    </xf>
    <xf numFmtId="167" fontId="26" fillId="7" borderId="1" xfId="1" applyNumberFormat="1" applyFont="1" applyFill="1" applyBorder="1" applyAlignment="1">
      <alignment horizontal="center"/>
    </xf>
    <xf numFmtId="164" fontId="22" fillId="3" borderId="1" xfId="1" applyFont="1" applyFill="1" applyBorder="1" applyAlignment="1">
      <alignment horizontal="center" vertical="center" wrapText="1"/>
    </xf>
    <xf numFmtId="167" fontId="11" fillId="0" borderId="7" xfId="1" applyNumberFormat="1" applyFont="1" applyFill="1" applyBorder="1" applyAlignment="1">
      <alignment horizontal="center" vertical="center"/>
    </xf>
    <xf numFmtId="167" fontId="11" fillId="0" borderId="6" xfId="1" applyNumberFormat="1" applyFont="1" applyFill="1" applyBorder="1" applyAlignment="1">
      <alignment horizontal="center" vertical="center"/>
    </xf>
    <xf numFmtId="167" fontId="11" fillId="0" borderId="8" xfId="1" applyNumberFormat="1" applyFont="1" applyFill="1" applyBorder="1" applyAlignment="1">
      <alignment horizontal="center" vertical="center"/>
    </xf>
    <xf numFmtId="167" fontId="17" fillId="0" borderId="7" xfId="1" applyNumberFormat="1" applyFont="1" applyBorder="1" applyAlignment="1">
      <alignment horizontal="center"/>
    </xf>
    <xf numFmtId="167" fontId="17" fillId="0" borderId="6" xfId="1" applyNumberFormat="1" applyFont="1" applyBorder="1" applyAlignment="1">
      <alignment horizontal="center"/>
    </xf>
    <xf numFmtId="167" fontId="17" fillId="0" borderId="8" xfId="1" applyNumberFormat="1" applyFont="1" applyBorder="1" applyAlignment="1">
      <alignment horizontal="center"/>
    </xf>
    <xf numFmtId="167" fontId="26" fillId="0" borderId="1" xfId="1" applyNumberFormat="1" applyFont="1" applyBorder="1" applyAlignment="1">
      <alignment horizontal="center"/>
    </xf>
    <xf numFmtId="167" fontId="21" fillId="0" borderId="7" xfId="1" applyNumberFormat="1" applyFont="1" applyBorder="1" applyAlignment="1">
      <alignment horizontal="center" vertical="top"/>
    </xf>
    <xf numFmtId="167" fontId="21" fillId="0" borderId="6" xfId="1" applyNumberFormat="1" applyFont="1" applyBorder="1" applyAlignment="1">
      <alignment horizontal="center" vertical="top"/>
    </xf>
    <xf numFmtId="167" fontId="21" fillId="0" borderId="8" xfId="1" applyNumberFormat="1" applyFont="1" applyBorder="1" applyAlignment="1">
      <alignment horizontal="center" vertical="top"/>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5" fillId="0" borderId="7" xfId="0" applyFont="1" applyBorder="1" applyAlignment="1">
      <alignment horizontal="center"/>
    </xf>
    <xf numFmtId="0" fontId="5" fillId="0" borderId="6" xfId="0" applyFont="1" applyBorder="1" applyAlignment="1">
      <alignment horizontal="center"/>
    </xf>
    <xf numFmtId="0" fontId="5" fillId="0" borderId="8" xfId="0" applyFont="1" applyBorder="1" applyAlignment="1">
      <alignment horizontal="center"/>
    </xf>
    <xf numFmtId="167" fontId="25" fillId="0" borderId="1" xfId="1" applyNumberFormat="1" applyFont="1" applyBorder="1" applyAlignment="1">
      <alignment horizontal="center"/>
    </xf>
    <xf numFmtId="0" fontId="15" fillId="3" borderId="11"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14" xfId="0" applyFont="1" applyFill="1" applyBorder="1" applyAlignment="1">
      <alignment horizontal="center" vertical="center"/>
    </xf>
    <xf numFmtId="1" fontId="15" fillId="3" borderId="14" xfId="0" applyNumberFormat="1" applyFont="1" applyFill="1" applyBorder="1" applyAlignment="1">
      <alignment horizontal="center" vertical="center" wrapText="1"/>
    </xf>
    <xf numFmtId="167" fontId="22" fillId="7" borderId="7" xfId="1" applyNumberFormat="1" applyFont="1" applyFill="1" applyBorder="1" applyAlignment="1">
      <alignment horizontal="center" vertical="top" wrapText="1"/>
    </xf>
    <xf numFmtId="167" fontId="22" fillId="7" borderId="6" xfId="1" applyNumberFormat="1" applyFont="1" applyFill="1" applyBorder="1" applyAlignment="1">
      <alignment horizontal="center" vertical="top" wrapText="1"/>
    </xf>
    <xf numFmtId="167" fontId="22" fillId="7" borderId="8" xfId="1" applyNumberFormat="1" applyFont="1" applyFill="1" applyBorder="1" applyAlignment="1">
      <alignment horizontal="center" vertical="top" wrapText="1"/>
    </xf>
    <xf numFmtId="167" fontId="6" fillId="7" borderId="1" xfId="1" applyNumberFormat="1" applyFont="1" applyFill="1" applyBorder="1" applyAlignment="1">
      <alignment horizontal="center"/>
    </xf>
    <xf numFmtId="164" fontId="24" fillId="7" borderId="1" xfId="1" applyFont="1" applyFill="1" applyBorder="1" applyAlignment="1">
      <alignment horizontal="center" vertical="center" wrapText="1"/>
    </xf>
    <xf numFmtId="0" fontId="22" fillId="0" borderId="1" xfId="0" applyFont="1" applyBorder="1" applyAlignment="1">
      <alignment horizontal="center" vertical="center" wrapText="1"/>
    </xf>
    <xf numFmtId="167" fontId="25" fillId="0" borderId="7" xfId="1" applyNumberFormat="1" applyFont="1" applyBorder="1" applyAlignment="1">
      <alignment horizontal="center"/>
    </xf>
    <xf numFmtId="167" fontId="25" fillId="0" borderId="6" xfId="1" applyNumberFormat="1" applyFont="1" applyBorder="1" applyAlignment="1">
      <alignment horizontal="center"/>
    </xf>
    <xf numFmtId="167" fontId="25" fillId="0" borderId="8" xfId="1" applyNumberFormat="1" applyFont="1" applyBorder="1" applyAlignment="1">
      <alignment horizontal="center"/>
    </xf>
    <xf numFmtId="167" fontId="6" fillId="0" borderId="1" xfId="1" applyNumberFormat="1" applyFont="1" applyBorder="1" applyAlignment="1">
      <alignment horizontal="center"/>
    </xf>
    <xf numFmtId="164" fontId="22" fillId="0" borderId="1" xfId="1" applyFont="1" applyFill="1" applyBorder="1" applyAlignment="1">
      <alignment horizontal="center" vertical="center" wrapText="1"/>
    </xf>
    <xf numFmtId="167" fontId="5" fillId="0" borderId="1" xfId="1" applyNumberFormat="1" applyFont="1" applyBorder="1" applyAlignment="1">
      <alignment horizontal="center"/>
    </xf>
    <xf numFmtId="0" fontId="24" fillId="0" borderId="1" xfId="0" applyFont="1" applyBorder="1" applyAlignment="1">
      <alignment horizontal="center" vertical="center" wrapText="1"/>
    </xf>
    <xf numFmtId="0" fontId="23" fillId="0" borderId="0" xfId="0" applyFont="1" applyAlignment="1">
      <alignment horizontal="justify" vertical="center" wrapText="1"/>
    </xf>
    <xf numFmtId="167" fontId="20" fillId="4" borderId="7" xfId="1" applyNumberFormat="1" applyFont="1" applyFill="1" applyBorder="1" applyAlignment="1">
      <alignment horizontal="center" vertical="top" wrapText="1"/>
    </xf>
    <xf numFmtId="167" fontId="20" fillId="4" borderId="6" xfId="1" applyNumberFormat="1" applyFont="1" applyFill="1" applyBorder="1" applyAlignment="1">
      <alignment horizontal="center" vertical="top" wrapText="1"/>
    </xf>
    <xf numFmtId="167" fontId="20" fillId="4" borderId="8" xfId="1" applyNumberFormat="1" applyFont="1" applyFill="1" applyBorder="1" applyAlignment="1">
      <alignment horizontal="center" vertical="top" wrapText="1"/>
    </xf>
    <xf numFmtId="167" fontId="20" fillId="5" borderId="7" xfId="1" applyNumberFormat="1" applyFont="1" applyFill="1" applyBorder="1" applyAlignment="1">
      <alignment horizontal="center" vertical="top" wrapText="1"/>
    </xf>
    <xf numFmtId="167" fontId="20" fillId="5" borderId="6" xfId="1" applyNumberFormat="1" applyFont="1" applyFill="1" applyBorder="1" applyAlignment="1">
      <alignment horizontal="center" vertical="top" wrapText="1"/>
    </xf>
    <xf numFmtId="167" fontId="20" fillId="5" borderId="8" xfId="1" applyNumberFormat="1" applyFont="1" applyFill="1" applyBorder="1" applyAlignment="1">
      <alignment horizontal="center" vertical="top" wrapText="1"/>
    </xf>
    <xf numFmtId="167" fontId="20" fillId="6" borderId="7" xfId="1" applyNumberFormat="1" applyFont="1" applyFill="1" applyBorder="1" applyAlignment="1">
      <alignment horizontal="center" vertical="top" wrapText="1"/>
    </xf>
    <xf numFmtId="167" fontId="20" fillId="6" borderId="6" xfId="1" applyNumberFormat="1" applyFont="1" applyFill="1" applyBorder="1" applyAlignment="1">
      <alignment horizontal="center" vertical="top" wrapText="1"/>
    </xf>
    <xf numFmtId="167" fontId="20" fillId="6" borderId="8" xfId="1" applyNumberFormat="1" applyFont="1" applyFill="1" applyBorder="1" applyAlignment="1">
      <alignment horizontal="center" vertical="top" wrapText="1"/>
    </xf>
    <xf numFmtId="167" fontId="22" fillId="6" borderId="7" xfId="1" applyNumberFormat="1" applyFont="1" applyFill="1" applyBorder="1" applyAlignment="1">
      <alignment horizontal="center" vertical="top" wrapText="1"/>
    </xf>
    <xf numFmtId="167" fontId="22" fillId="6" borderId="6" xfId="1" applyNumberFormat="1" applyFont="1" applyFill="1" applyBorder="1" applyAlignment="1">
      <alignment horizontal="center" vertical="top" wrapText="1"/>
    </xf>
    <xf numFmtId="167" fontId="22" fillId="6" borderId="8" xfId="1" applyNumberFormat="1" applyFont="1" applyFill="1" applyBorder="1" applyAlignment="1">
      <alignment horizontal="center" vertical="top" wrapText="1"/>
    </xf>
    <xf numFmtId="167" fontId="20" fillId="4" borderId="7" xfId="1" applyNumberFormat="1" applyFont="1" applyFill="1" applyBorder="1" applyAlignment="1">
      <alignment horizontal="center" vertical="top"/>
    </xf>
    <xf numFmtId="167" fontId="20" fillId="4" borderId="6" xfId="1" applyNumberFormat="1" applyFont="1" applyFill="1" applyBorder="1" applyAlignment="1">
      <alignment horizontal="center" vertical="top"/>
    </xf>
    <xf numFmtId="167" fontId="20" fillId="4" borderId="7" xfId="1" applyNumberFormat="1" applyFont="1" applyFill="1" applyBorder="1" applyAlignment="1">
      <alignment horizontal="center" vertical="center"/>
    </xf>
    <xf numFmtId="167" fontId="20" fillId="4" borderId="6" xfId="1" applyNumberFormat="1" applyFont="1" applyFill="1" applyBorder="1" applyAlignment="1">
      <alignment horizontal="center" vertical="center"/>
    </xf>
    <xf numFmtId="167" fontId="20" fillId="4" borderId="8" xfId="1" applyNumberFormat="1" applyFont="1" applyFill="1" applyBorder="1" applyAlignment="1">
      <alignment horizontal="center" vertical="center"/>
    </xf>
    <xf numFmtId="167" fontId="20" fillId="5" borderId="7" xfId="1" applyNumberFormat="1" applyFont="1" applyFill="1" applyBorder="1" applyAlignment="1">
      <alignment horizontal="center" vertical="center" wrapText="1"/>
    </xf>
    <xf numFmtId="167" fontId="20" fillId="5" borderId="6" xfId="1" applyNumberFormat="1" applyFont="1" applyFill="1" applyBorder="1" applyAlignment="1">
      <alignment horizontal="center" vertical="center" wrapText="1"/>
    </xf>
    <xf numFmtId="167" fontId="20" fillId="5" borderId="8" xfId="1" applyNumberFormat="1" applyFont="1" applyFill="1" applyBorder="1" applyAlignment="1">
      <alignment horizontal="center" vertical="center" wrapText="1"/>
    </xf>
    <xf numFmtId="167" fontId="20" fillId="6" borderId="7" xfId="1" applyNumberFormat="1" applyFont="1" applyFill="1" applyBorder="1" applyAlignment="1">
      <alignment horizontal="center" vertical="center" wrapText="1"/>
    </xf>
    <xf numFmtId="167" fontId="20" fillId="6" borderId="6" xfId="1" applyNumberFormat="1" applyFont="1" applyFill="1" applyBorder="1" applyAlignment="1">
      <alignment horizontal="center" vertical="center" wrapText="1"/>
    </xf>
    <xf numFmtId="167" fontId="20" fillId="6" borderId="8" xfId="1" applyNumberFormat="1" applyFont="1" applyFill="1" applyBorder="1" applyAlignment="1">
      <alignment horizontal="center" vertical="center" wrapText="1"/>
    </xf>
    <xf numFmtId="0" fontId="7" fillId="0" borderId="0" xfId="0" applyFont="1" applyAlignment="1">
      <alignment horizontal="center" vertical="top"/>
    </xf>
    <xf numFmtId="0" fontId="19" fillId="0" borderId="0" xfId="0" applyFont="1" applyAlignment="1">
      <alignment horizontal="left" vertical="top" wrapText="1"/>
    </xf>
    <xf numFmtId="0" fontId="7" fillId="0" borderId="0" xfId="0" applyFont="1" applyAlignment="1">
      <alignment horizontal="justify" vertical="top" wrapText="1"/>
    </xf>
    <xf numFmtId="0" fontId="8" fillId="0" borderId="0" xfId="0" applyFont="1" applyAlignment="1">
      <alignment horizontal="justify" vertical="center" wrapText="1"/>
    </xf>
    <xf numFmtId="0" fontId="4" fillId="0" borderId="0" xfId="0" applyFont="1" applyAlignment="1">
      <alignment horizontal="justify" vertical="top" wrapText="1"/>
    </xf>
    <xf numFmtId="0" fontId="15" fillId="3" borderId="9"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10" xfId="0" applyFont="1" applyFill="1" applyBorder="1" applyAlignment="1">
      <alignment horizontal="center" vertical="center"/>
    </xf>
    <xf numFmtId="1" fontId="15" fillId="3" borderId="9" xfId="0" applyNumberFormat="1" applyFont="1" applyFill="1" applyBorder="1" applyAlignment="1">
      <alignment horizontal="center" vertical="center" wrapText="1"/>
    </xf>
    <xf numFmtId="1" fontId="15" fillId="3" borderId="5" xfId="0" applyNumberFormat="1" applyFont="1" applyFill="1" applyBorder="1" applyAlignment="1">
      <alignment horizontal="center" vertical="center" wrapText="1"/>
    </xf>
    <xf numFmtId="1" fontId="15" fillId="3" borderId="10" xfId="0" applyNumberFormat="1" applyFont="1" applyFill="1" applyBorder="1" applyAlignment="1">
      <alignment horizontal="center" vertical="center" wrapText="1"/>
    </xf>
    <xf numFmtId="0" fontId="5" fillId="0" borderId="0" xfId="0" applyFont="1" applyAlignment="1">
      <alignment horizontal="left" vertical="top" wrapText="1"/>
    </xf>
    <xf numFmtId="0" fontId="3" fillId="2" borderId="0" xfId="0" applyFont="1" applyFill="1" applyAlignment="1">
      <alignment horizontal="right" vertical="center"/>
    </xf>
    <xf numFmtId="3" fontId="20" fillId="0" borderId="7" xfId="33" applyNumberFormat="1" applyFont="1" applyFill="1" applyBorder="1" applyAlignment="1">
      <alignment horizontal="center" vertical="top" wrapText="1"/>
    </xf>
    <xf numFmtId="3" fontId="20" fillId="0" borderId="6" xfId="33" applyNumberFormat="1" applyFont="1" applyFill="1" applyBorder="1" applyAlignment="1">
      <alignment horizontal="center" vertical="top" wrapText="1"/>
    </xf>
    <xf numFmtId="3" fontId="20" fillId="0" borderId="8" xfId="33" applyNumberFormat="1" applyFont="1" applyFill="1" applyBorder="1" applyAlignment="1">
      <alignment horizontal="center" vertical="top" wrapText="1"/>
    </xf>
    <xf numFmtId="3" fontId="94" fillId="0" borderId="0" xfId="4" applyNumberFormat="1" applyFont="1" applyFill="1" applyBorder="1" applyAlignment="1">
      <alignment horizontal="left" vertical="top"/>
    </xf>
    <xf numFmtId="3" fontId="20" fillId="12" borderId="7" xfId="33" applyNumberFormat="1" applyFont="1" applyFill="1" applyBorder="1" applyAlignment="1">
      <alignment horizontal="center" vertical="top" wrapText="1"/>
    </xf>
    <xf numFmtId="3" fontId="20" fillId="12" borderId="6" xfId="33" applyNumberFormat="1" applyFont="1" applyFill="1" applyBorder="1" applyAlignment="1">
      <alignment horizontal="center" vertical="top" wrapText="1"/>
    </xf>
    <xf numFmtId="3" fontId="20" fillId="12" borderId="8" xfId="33" applyNumberFormat="1" applyFont="1" applyFill="1" applyBorder="1" applyAlignment="1">
      <alignment horizontal="center" vertical="top" wrapText="1"/>
    </xf>
    <xf numFmtId="3" fontId="33" fillId="0" borderId="7" xfId="33" applyNumberFormat="1" applyFont="1" applyFill="1" applyBorder="1" applyAlignment="1">
      <alignment horizontal="center" vertical="top"/>
    </xf>
    <xf numFmtId="3" fontId="33" fillId="0" borderId="6" xfId="33" applyNumberFormat="1" applyFont="1" applyFill="1" applyBorder="1" applyAlignment="1">
      <alignment horizontal="center" vertical="top"/>
    </xf>
    <xf numFmtId="3" fontId="33" fillId="0" borderId="8" xfId="33" applyNumberFormat="1" applyFont="1" applyFill="1" applyBorder="1" applyAlignment="1">
      <alignment horizontal="center" vertical="top"/>
    </xf>
    <xf numFmtId="3" fontId="122" fillId="0" borderId="5" xfId="4" applyNumberFormat="1" applyFont="1" applyFill="1" applyBorder="1" applyAlignment="1">
      <alignment horizontal="center" vertical="center"/>
    </xf>
    <xf numFmtId="3" fontId="17" fillId="0" borderId="7" xfId="33" applyNumberFormat="1" applyFont="1" applyFill="1" applyBorder="1" applyAlignment="1">
      <alignment horizontal="center"/>
    </xf>
    <xf numFmtId="3" fontId="17" fillId="0" borderId="6" xfId="33" applyNumberFormat="1" applyFont="1" applyFill="1" applyBorder="1" applyAlignment="1">
      <alignment horizontal="center"/>
    </xf>
    <xf numFmtId="3" fontId="17" fillId="0" borderId="8" xfId="33" applyNumberFormat="1" applyFont="1" applyFill="1" applyBorder="1" applyAlignment="1">
      <alignment horizontal="center"/>
    </xf>
    <xf numFmtId="3" fontId="15" fillId="0" borderId="7" xfId="4" applyNumberFormat="1" applyFont="1" applyFill="1" applyBorder="1" applyAlignment="1">
      <alignment horizontal="center" vertical="center" wrapText="1"/>
    </xf>
    <xf numFmtId="3" fontId="15" fillId="0" borderId="6" xfId="4" applyNumberFormat="1" applyFont="1" applyFill="1" applyBorder="1" applyAlignment="1">
      <alignment horizontal="center" vertical="center" wrapText="1"/>
    </xf>
    <xf numFmtId="3" fontId="15" fillId="0" borderId="8" xfId="4" applyNumberFormat="1" applyFont="1" applyFill="1" applyBorder="1" applyAlignment="1">
      <alignment horizontal="center" vertical="center" wrapText="1"/>
    </xf>
    <xf numFmtId="4" fontId="47" fillId="0" borderId="7" xfId="33" applyNumberFormat="1" applyFont="1" applyFill="1" applyBorder="1" applyAlignment="1">
      <alignment horizontal="center" vertical="center" wrapText="1"/>
    </xf>
    <xf numFmtId="4" fontId="47" fillId="0" borderId="8" xfId="33" applyNumberFormat="1" applyFont="1" applyFill="1" applyBorder="1" applyAlignment="1">
      <alignment horizontal="center" vertical="center" wrapText="1"/>
    </xf>
    <xf numFmtId="3" fontId="42" fillId="0" borderId="7" xfId="4" applyNumberFormat="1" applyFont="1" applyFill="1" applyBorder="1" applyAlignment="1">
      <alignment horizontal="center" vertical="center" wrapText="1"/>
    </xf>
    <xf numFmtId="3" fontId="42" fillId="0" borderId="8" xfId="4" applyNumberFormat="1" applyFont="1" applyFill="1" applyBorder="1" applyAlignment="1">
      <alignment horizontal="center" vertical="center" wrapText="1"/>
    </xf>
    <xf numFmtId="4" fontId="126" fillId="0" borderId="1" xfId="0" applyNumberFormat="1" applyFont="1" applyFill="1" applyBorder="1" applyAlignment="1">
      <alignment horizontal="center" vertical="center"/>
    </xf>
    <xf numFmtId="3" fontId="92" fillId="0" borderId="0" xfId="4" applyNumberFormat="1" applyFont="1" applyFill="1" applyAlignment="1">
      <alignment horizontal="justify" vertical="top" wrapText="1"/>
    </xf>
    <xf numFmtId="3" fontId="87" fillId="0" borderId="0" xfId="4" applyNumberFormat="1" applyFont="1" applyFill="1" applyAlignment="1">
      <alignment horizontal="justify" vertical="top" wrapText="1"/>
    </xf>
    <xf numFmtId="3" fontId="29" fillId="0" borderId="11" xfId="4" applyNumberFormat="1" applyFont="1" applyFill="1" applyBorder="1" applyAlignment="1">
      <alignment horizontal="center" vertical="center" wrapText="1"/>
    </xf>
    <xf numFmtId="3" fontId="29" fillId="0" borderId="4" xfId="4" applyNumberFormat="1" applyFont="1" applyFill="1" applyBorder="1" applyAlignment="1">
      <alignment horizontal="center" vertical="center" wrapText="1"/>
    </xf>
    <xf numFmtId="3" fontId="29" fillId="0" borderId="14" xfId="4" applyNumberFormat="1" applyFont="1" applyFill="1" applyBorder="1" applyAlignment="1">
      <alignment horizontal="center" vertical="center" wrapText="1"/>
    </xf>
    <xf numFmtId="3" fontId="29" fillId="0" borderId="9" xfId="4" applyNumberFormat="1" applyFont="1" applyFill="1" applyBorder="1" applyAlignment="1">
      <alignment horizontal="center" vertical="center" wrapText="1"/>
    </xf>
    <xf numFmtId="3" fontId="29" fillId="0" borderId="5" xfId="4" applyNumberFormat="1" applyFont="1" applyFill="1" applyBorder="1" applyAlignment="1">
      <alignment horizontal="center" vertical="center" wrapText="1"/>
    </xf>
    <xf numFmtId="3" fontId="29" fillId="0" borderId="10" xfId="4" applyNumberFormat="1" applyFont="1" applyFill="1" applyBorder="1" applyAlignment="1">
      <alignment horizontal="center" vertical="center" wrapText="1"/>
    </xf>
    <xf numFmtId="3" fontId="20" fillId="0" borderId="7" xfId="33" applyNumberFormat="1" applyFont="1" applyFill="1" applyBorder="1" applyAlignment="1">
      <alignment horizontal="center" vertical="top"/>
    </xf>
    <xf numFmtId="3" fontId="20" fillId="0" borderId="6" xfId="33" applyNumberFormat="1" applyFont="1" applyFill="1" applyBorder="1" applyAlignment="1">
      <alignment horizontal="center" vertical="top"/>
    </xf>
    <xf numFmtId="3" fontId="20" fillId="0" borderId="8" xfId="33" applyNumberFormat="1" applyFont="1" applyFill="1" applyBorder="1" applyAlignment="1">
      <alignment horizontal="center" vertical="top"/>
    </xf>
    <xf numFmtId="3" fontId="94" fillId="0" borderId="0" xfId="4" applyNumberFormat="1" applyFont="1" applyFill="1" applyAlignment="1">
      <alignment horizontal="justify" vertical="center" wrapText="1"/>
    </xf>
    <xf numFmtId="3" fontId="29" fillId="0" borderId="11" xfId="4" applyNumberFormat="1" applyFont="1" applyFill="1" applyBorder="1" applyAlignment="1">
      <alignment horizontal="center" vertical="center"/>
    </xf>
    <xf numFmtId="3" fontId="29" fillId="0" borderId="4" xfId="4" applyNumberFormat="1" applyFont="1" applyFill="1" applyBorder="1" applyAlignment="1">
      <alignment horizontal="center" vertical="center"/>
    </xf>
    <xf numFmtId="3" fontId="29" fillId="0" borderId="14" xfId="4" applyNumberFormat="1" applyFont="1" applyFill="1" applyBorder="1" applyAlignment="1">
      <alignment horizontal="center" vertical="center"/>
    </xf>
    <xf numFmtId="3" fontId="29" fillId="0" borderId="9" xfId="4" applyNumberFormat="1" applyFont="1" applyFill="1" applyBorder="1" applyAlignment="1">
      <alignment horizontal="center" vertical="center"/>
    </xf>
    <xf numFmtId="3" fontId="29" fillId="0" borderId="5" xfId="4" applyNumberFormat="1" applyFont="1" applyFill="1" applyBorder="1" applyAlignment="1">
      <alignment horizontal="center" vertical="center"/>
    </xf>
    <xf numFmtId="3" fontId="29" fillId="0" borderId="10" xfId="4" applyNumberFormat="1" applyFont="1" applyFill="1" applyBorder="1" applyAlignment="1">
      <alignment horizontal="center" vertical="center"/>
    </xf>
    <xf numFmtId="3" fontId="29" fillId="0" borderId="7" xfId="33" applyNumberFormat="1" applyFont="1" applyFill="1" applyBorder="1" applyAlignment="1">
      <alignment horizontal="center" vertical="top" wrapText="1"/>
    </xf>
    <xf numFmtId="3" fontId="29" fillId="0" borderId="6" xfId="33" applyNumberFormat="1" applyFont="1" applyFill="1" applyBorder="1" applyAlignment="1">
      <alignment horizontal="center" vertical="top" wrapText="1"/>
    </xf>
    <xf numFmtId="3" fontId="29" fillId="0" borderId="8" xfId="33" applyNumberFormat="1" applyFont="1" applyFill="1" applyBorder="1" applyAlignment="1">
      <alignment horizontal="center" vertical="top" wrapText="1"/>
    </xf>
    <xf numFmtId="3" fontId="121" fillId="0" borderId="0" xfId="4" applyNumberFormat="1" applyFont="1" applyFill="1" applyAlignment="1">
      <alignment horizontal="center" vertical="top"/>
    </xf>
    <xf numFmtId="3" fontId="20" fillId="0" borderId="7" xfId="33" applyNumberFormat="1" applyFont="1" applyFill="1" applyBorder="1" applyAlignment="1">
      <alignment horizontal="center" vertical="center" wrapText="1"/>
    </xf>
    <xf numFmtId="3" fontId="20" fillId="0" borderId="6" xfId="33" applyNumberFormat="1" applyFont="1" applyFill="1" applyBorder="1" applyAlignment="1">
      <alignment horizontal="center" vertical="center" wrapText="1"/>
    </xf>
    <xf numFmtId="3" fontId="20" fillId="0" borderId="8" xfId="33" applyNumberFormat="1" applyFont="1" applyFill="1" applyBorder="1" applyAlignment="1">
      <alignment horizontal="center" vertical="center" wrapText="1"/>
    </xf>
    <xf numFmtId="3" fontId="7" fillId="0" borderId="7" xfId="4" applyNumberFormat="1" applyFont="1" applyFill="1" applyBorder="1" applyAlignment="1">
      <alignment horizontal="center" vertical="center" wrapText="1"/>
    </xf>
    <xf numFmtId="3" fontId="7" fillId="0" borderId="8" xfId="4" applyNumberFormat="1" applyFont="1" applyFill="1" applyBorder="1" applyAlignment="1">
      <alignment horizontal="center" vertical="center" wrapText="1"/>
    </xf>
    <xf numFmtId="3" fontId="118" fillId="0" borderId="0" xfId="4" applyNumberFormat="1" applyFont="1" applyFill="1" applyAlignment="1">
      <alignment horizontal="left" vertical="top" wrapText="1"/>
    </xf>
    <xf numFmtId="3" fontId="122" fillId="0" borderId="0" xfId="4" applyNumberFormat="1" applyFont="1" applyFill="1" applyAlignment="1">
      <alignment horizontal="center" vertical="center" wrapText="1"/>
    </xf>
    <xf numFmtId="3" fontId="20" fillId="0" borderId="7" xfId="4" applyNumberFormat="1" applyFont="1" applyFill="1" applyBorder="1" applyAlignment="1">
      <alignment horizontal="center" vertical="center"/>
    </xf>
    <xf numFmtId="3" fontId="20" fillId="0" borderId="6" xfId="4" applyNumberFormat="1" applyFont="1" applyFill="1" applyBorder="1" applyAlignment="1">
      <alignment horizontal="center" vertical="center"/>
    </xf>
    <xf numFmtId="3" fontId="20" fillId="0" borderId="8" xfId="4" applyNumberFormat="1" applyFont="1" applyFill="1" applyBorder="1" applyAlignment="1">
      <alignment horizontal="center" vertical="center"/>
    </xf>
    <xf numFmtId="3" fontId="17" fillId="0" borderId="7" xfId="4" applyNumberFormat="1" applyFont="1" applyFill="1" applyBorder="1" applyAlignment="1">
      <alignment horizontal="center" vertical="top"/>
    </xf>
    <xf numFmtId="3" fontId="17" fillId="0" borderId="6" xfId="4" applyNumberFormat="1" applyFont="1" applyFill="1" applyBorder="1" applyAlignment="1">
      <alignment horizontal="center" vertical="top"/>
    </xf>
    <xf numFmtId="3" fontId="17" fillId="0" borderId="8" xfId="4" applyNumberFormat="1" applyFont="1" applyFill="1" applyBorder="1" applyAlignment="1">
      <alignment horizontal="center" vertical="top"/>
    </xf>
    <xf numFmtId="3" fontId="87" fillId="0" borderId="0" xfId="4" applyNumberFormat="1" applyFont="1" applyFill="1" applyAlignment="1">
      <alignment horizontal="justify" vertical="top"/>
    </xf>
    <xf numFmtId="3" fontId="115" fillId="0" borderId="0" xfId="4" applyNumberFormat="1" applyFont="1" applyFill="1" applyBorder="1" applyAlignment="1">
      <alignment horizontal="left" vertical="top" wrapText="1"/>
    </xf>
    <xf numFmtId="3" fontId="15" fillId="0" borderId="7" xfId="4" applyNumberFormat="1" applyFont="1" applyFill="1" applyBorder="1" applyAlignment="1">
      <alignment horizontal="center" vertical="center"/>
    </xf>
    <xf numFmtId="3" fontId="15" fillId="0" borderId="6" xfId="4" applyNumberFormat="1" applyFont="1" applyFill="1" applyBorder="1" applyAlignment="1">
      <alignment horizontal="center" vertical="center"/>
    </xf>
    <xf numFmtId="3" fontId="15" fillId="0" borderId="8" xfId="4" applyNumberFormat="1" applyFont="1" applyFill="1" applyBorder="1" applyAlignment="1">
      <alignment horizontal="center" vertical="center"/>
    </xf>
    <xf numFmtId="3" fontId="17" fillId="0" borderId="7" xfId="4" applyNumberFormat="1" applyFont="1" applyFill="1" applyBorder="1" applyAlignment="1">
      <alignment horizontal="center"/>
    </xf>
    <xf numFmtId="3" fontId="17" fillId="0" borderId="6" xfId="4" applyNumberFormat="1" applyFont="1" applyFill="1" applyBorder="1" applyAlignment="1">
      <alignment horizontal="center"/>
    </xf>
    <xf numFmtId="3" fontId="17" fillId="0" borderId="8" xfId="4" applyNumberFormat="1" applyFont="1" applyFill="1" applyBorder="1" applyAlignment="1">
      <alignment horizontal="center"/>
    </xf>
  </cellXfs>
  <cellStyles count="64">
    <cellStyle name="20% - Accent1 2" xfId="5" xr:uid="{D7FC9674-237C-47A3-ACCE-A3B2BDC5174B}"/>
    <cellStyle name="20% - Accent2 2" xfId="6" xr:uid="{C04B3FD9-E21B-4378-8B65-DDBE510B83DC}"/>
    <cellStyle name="20% - Accent3 2" xfId="7" xr:uid="{44905A2F-4B76-499F-B7A3-087FAF59DC88}"/>
    <cellStyle name="20% - Accent4 2" xfId="8" xr:uid="{ADB79450-9B06-42CD-8358-49CAB42DFB28}"/>
    <cellStyle name="20% - Accent5 2" xfId="9" xr:uid="{A52D7ACB-630C-4EDE-AA95-4CEE823FB3E5}"/>
    <cellStyle name="20% - Accent6 2" xfId="10" xr:uid="{37023CB3-B060-4630-A45B-3B7AD12A12F2}"/>
    <cellStyle name="40% - Accent1 2" xfId="11" xr:uid="{C6281A59-D8A4-42E8-9819-A8DC365E03BC}"/>
    <cellStyle name="40% - Accent2 2" xfId="12" xr:uid="{A293E53F-361D-4B43-BC63-25DCE845B97C}"/>
    <cellStyle name="40% - Accent3 2" xfId="13" xr:uid="{F2AF929F-55D0-4A43-9974-AA6F91D0D641}"/>
    <cellStyle name="40% - Accent4 2" xfId="14" xr:uid="{2285DA98-730D-4C46-BD20-A1BF82695894}"/>
    <cellStyle name="40% - Accent5 2" xfId="15" xr:uid="{E7A4B4C9-22AC-4314-9E1D-214529053B6D}"/>
    <cellStyle name="40% - Accent6 2" xfId="16" xr:uid="{2115B403-387D-4357-845A-ABC42E8A4685}"/>
    <cellStyle name="60% - Accent1 2" xfId="17" xr:uid="{3F02AC51-680E-4E13-8FFB-7F20486791B6}"/>
    <cellStyle name="60% - Accent2 2" xfId="18" xr:uid="{0BA41208-C0E6-4C27-A60C-056E719648FE}"/>
    <cellStyle name="60% - Accent3 2" xfId="19" xr:uid="{06507C7A-3650-40CB-AAA5-90DE78CA237B}"/>
    <cellStyle name="60% - Accent4 2" xfId="20" xr:uid="{634E8659-C9D7-486C-9F44-59563BF66664}"/>
    <cellStyle name="60% - Accent5 2" xfId="21" xr:uid="{F08A59DC-3D9E-40FA-BD1E-86CCB8A13AFE}"/>
    <cellStyle name="60% - Accent6 2" xfId="22" xr:uid="{2A2CAB57-B43C-4D98-BFF6-0DA61139DF66}"/>
    <cellStyle name="Accent1 2" xfId="23" xr:uid="{A5B728CB-DE7E-433C-A17E-191E03F2E9F8}"/>
    <cellStyle name="Accent2 2" xfId="24" xr:uid="{EB42BC97-72A2-45E9-8DC0-416DE7156F4E}"/>
    <cellStyle name="Accent3 2" xfId="25" xr:uid="{AF97388D-551A-40DB-B642-8C6FBDD780A3}"/>
    <cellStyle name="Accent4 2" xfId="26" xr:uid="{CE829BB9-FEA8-4390-ADFA-AE2CA5319418}"/>
    <cellStyle name="Accent5 2" xfId="27" xr:uid="{1F0C3BFE-E042-4274-8510-13F9682F6F1D}"/>
    <cellStyle name="Accent6 2" xfId="28" xr:uid="{9D1E9BB5-5DCD-45B4-9C3D-37B825A34CA9}"/>
    <cellStyle name="Bad 2" xfId="29" xr:uid="{CE17FD93-326E-4D8B-9422-9020344C233F}"/>
    <cellStyle name="Calculation 2" xfId="30" xr:uid="{604C5BEB-A515-4524-A913-317FE13181B2}"/>
    <cellStyle name="Check Cell 2" xfId="31" xr:uid="{B9D46E64-F3EA-4A35-9A9F-933C1A62E4C0}"/>
    <cellStyle name="Comma" xfId="2" builtinId="3"/>
    <cellStyle name="Comma [0]" xfId="1" builtinId="6"/>
    <cellStyle name="Comma [0] 2" xfId="34" xr:uid="{8088EE4A-0F78-44EC-A44F-9089324A341D}"/>
    <cellStyle name="Comma [0] 3" xfId="35" xr:uid="{8EF9A588-CB26-44C2-89CF-9B25C5C394C8}"/>
    <cellStyle name="Comma [0] 4" xfId="33" xr:uid="{A1521816-9E4A-4ACC-BC10-BA0A2DFB60F5}"/>
    <cellStyle name="Comma 10" xfId="63" xr:uid="{648C666A-4146-4679-9D46-ECC750F0E038}"/>
    <cellStyle name="Comma 2" xfId="36" xr:uid="{18305E4E-68B4-428E-A8AD-D4BF3EDF45A2}"/>
    <cellStyle name="Comma 2 2" xfId="37" xr:uid="{039450A3-25F0-409C-9D25-1A744DE8D688}"/>
    <cellStyle name="Comma 3" xfId="38" xr:uid="{256575C8-F2AB-4389-A08D-C11864854ED0}"/>
    <cellStyle name="Comma 4" xfId="39" xr:uid="{A31D5CDE-16EA-4D32-92CD-548E7FBA519D}"/>
    <cellStyle name="Comma 5" xfId="40" xr:uid="{5BDD7A6D-8618-4330-949A-F418E4E54F9D}"/>
    <cellStyle name="Comma 6" xfId="41" xr:uid="{06B4D6C6-E921-45BC-9BF9-001E32EE9018}"/>
    <cellStyle name="Comma 7" xfId="42" xr:uid="{FCE14761-9470-429E-894E-2603895116B6}"/>
    <cellStyle name="Comma 8" xfId="43" xr:uid="{5CBAA02B-1B60-4F55-AACA-C1100FF33B3E}"/>
    <cellStyle name="Comma 9" xfId="32" xr:uid="{55D2FAE1-D151-481A-A89E-B86372290BCF}"/>
    <cellStyle name="Explanatory Text 2" xfId="44" xr:uid="{440DFC07-5627-491E-BCB4-D010433A9112}"/>
    <cellStyle name="Good 2" xfId="45" xr:uid="{C768F9C3-52C0-41EF-B531-74DD631A5864}"/>
    <cellStyle name="Heading 1 2" xfId="46" xr:uid="{62AC2405-3149-4688-B654-E7B7143CFD82}"/>
    <cellStyle name="Heading 2 2" xfId="47" xr:uid="{4C9254B6-5AB0-4BAD-9357-2A4C871C89B8}"/>
    <cellStyle name="Heading 3 2" xfId="48" xr:uid="{DA6E78A5-049F-4769-AAD4-B9CCA90DF0B1}"/>
    <cellStyle name="Heading 4 2" xfId="49" xr:uid="{2B0B7C4E-D84A-45AC-A840-497C31D4B0C4}"/>
    <cellStyle name="Input 2" xfId="50" xr:uid="{134AF8FC-E3B4-4561-B5C3-29BC8C66B83D}"/>
    <cellStyle name="Linked Cell 2" xfId="51" xr:uid="{1B8C3E83-3E32-41D5-9BBF-04D7A3E0E6CE}"/>
    <cellStyle name="Neutral 2" xfId="52" xr:uid="{9AE4E7BC-B41C-4C4B-8B4B-900795ABF81B}"/>
    <cellStyle name="Normal" xfId="0" builtinId="0"/>
    <cellStyle name="Normal 2" xfId="53" xr:uid="{1BE26441-1468-4960-85AA-607237152C12}"/>
    <cellStyle name="Normal 3" xfId="4" xr:uid="{FFF3BA3F-7F46-4D3B-B11C-DC4426D7078E}"/>
    <cellStyle name="Normal 3 3" xfId="54" xr:uid="{CE676BA7-FAD7-419D-BDB6-B4067D9EFB0F}"/>
    <cellStyle name="Normal 5" xfId="55" xr:uid="{FC97671D-F56E-4058-B46D-8FF6DA6900F3}"/>
    <cellStyle name="Normal 7" xfId="3" xr:uid="{3EACB6C8-9F70-4100-BEC4-442F12C53205}"/>
    <cellStyle name="Normal 9" xfId="56" xr:uid="{87E27F36-28CE-42B5-9761-A554C702DF7A}"/>
    <cellStyle name="Note 2" xfId="57" xr:uid="{0CAA9CB5-D347-4B36-91B9-224B1774F5B7}"/>
    <cellStyle name="Output 2" xfId="58" xr:uid="{1625C62B-1B4B-4867-BA4E-EA79F78C9010}"/>
    <cellStyle name="Percent 2" xfId="59" xr:uid="{9C150CFA-1163-49E3-9101-385276EAAACD}"/>
    <cellStyle name="Title 2" xfId="60" xr:uid="{17BD08D1-BD63-4675-830B-94BC68688615}"/>
    <cellStyle name="Total 2" xfId="61" xr:uid="{A5AB9EB9-38DA-40A6-AB08-FBB1032C6668}"/>
    <cellStyle name="Warning Text 2" xfId="62" xr:uid="{92768339-4200-421F-9A7C-7502A08C05AA}"/>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101652828256744"/>
          <c:y val="9.9315234567694796E-2"/>
          <c:w val="0.44110904246021859"/>
          <c:h val="0.67465866240813355"/>
        </c:manualLayout>
      </c:layout>
      <c:barChart>
        <c:barDir val="col"/>
        <c:grouping val="clustered"/>
        <c:varyColors val="0"/>
        <c:ser>
          <c:idx val="0"/>
          <c:order val="0"/>
          <c:tx>
            <c:strRef>
              <c:f>'[1]Calk Umum'!$AB$334</c:f>
              <c:strCache>
                <c:ptCount val="1"/>
                <c:pt idx="0">
                  <c:v>Anggaran</c:v>
                </c:pt>
              </c:strCache>
            </c:strRef>
          </c:tx>
          <c:invertIfNegative val="0"/>
          <c:cat>
            <c:multiLvlStrRef>
              <c:f>'[1]Calk Umum'!$V$335:$AA$338</c:f>
              <c:multiLvlStrCache>
                <c:ptCount val="4"/>
                <c:lvl/>
                <c:lvl/>
                <c:lvl/>
                <c:lvl/>
                <c:lvl/>
                <c:lvl>
                  <c:pt idx="0">
                    <c:v>BELANJA OPERASI</c:v>
                  </c:pt>
                  <c:pt idx="1">
                    <c:v>BELANJA MODAL</c:v>
                  </c:pt>
                  <c:pt idx="2">
                    <c:v>BELANJA MODAL</c:v>
                  </c:pt>
                  <c:pt idx="3">
                    <c:v>TRANSFER</c:v>
                  </c:pt>
                </c:lvl>
              </c:multiLvlStrCache>
            </c:multiLvlStrRef>
          </c:cat>
          <c:val>
            <c:numRef>
              <c:f>'[1]Calk Umum'!$AB$335:$AB$338</c:f>
              <c:numCache>
                <c:formatCode>General</c:formatCode>
                <c:ptCount val="4"/>
                <c:pt idx="0">
                  <c:v>11922982796</c:v>
                </c:pt>
                <c:pt idx="1">
                  <c:v>15898136000</c:v>
                </c:pt>
                <c:pt idx="2">
                  <c:v>0</c:v>
                </c:pt>
                <c:pt idx="3">
                  <c:v>0</c:v>
                </c:pt>
              </c:numCache>
            </c:numRef>
          </c:val>
          <c:extLst>
            <c:ext xmlns:c16="http://schemas.microsoft.com/office/drawing/2014/chart" uri="{C3380CC4-5D6E-409C-BE32-E72D297353CC}">
              <c16:uniqueId val="{00000000-52E1-40AF-AADE-3873D93F887E}"/>
            </c:ext>
          </c:extLst>
        </c:ser>
        <c:ser>
          <c:idx val="1"/>
          <c:order val="1"/>
          <c:tx>
            <c:strRef>
              <c:f>'[1]Calk Umum'!$AF$334</c:f>
              <c:strCache>
                <c:ptCount val="1"/>
                <c:pt idx="0">
                  <c:v>Realisasi </c:v>
                </c:pt>
              </c:strCache>
            </c:strRef>
          </c:tx>
          <c:invertIfNegative val="0"/>
          <c:cat>
            <c:multiLvlStrRef>
              <c:f>'[1]Calk Umum'!$V$335:$AA$338</c:f>
              <c:multiLvlStrCache>
                <c:ptCount val="4"/>
                <c:lvl/>
                <c:lvl/>
                <c:lvl/>
                <c:lvl/>
                <c:lvl/>
                <c:lvl>
                  <c:pt idx="0">
                    <c:v>BELANJA OPERASI</c:v>
                  </c:pt>
                  <c:pt idx="1">
                    <c:v>BELANJA MODAL</c:v>
                  </c:pt>
                  <c:pt idx="2">
                    <c:v>BELANJA MODAL</c:v>
                  </c:pt>
                  <c:pt idx="3">
                    <c:v>TRANSFER</c:v>
                  </c:pt>
                </c:lvl>
              </c:multiLvlStrCache>
            </c:multiLvlStrRef>
          </c:cat>
          <c:val>
            <c:numRef>
              <c:f>'[1]Calk Umum'!$AF$335:$AF$338</c:f>
              <c:numCache>
                <c:formatCode>General</c:formatCode>
                <c:ptCount val="4"/>
                <c:pt idx="0">
                  <c:v>9662122630</c:v>
                </c:pt>
                <c:pt idx="1">
                  <c:v>82667202576</c:v>
                </c:pt>
                <c:pt idx="2">
                  <c:v>0</c:v>
                </c:pt>
                <c:pt idx="3">
                  <c:v>0</c:v>
                </c:pt>
              </c:numCache>
            </c:numRef>
          </c:val>
          <c:extLst>
            <c:ext xmlns:c16="http://schemas.microsoft.com/office/drawing/2014/chart" uri="{C3380CC4-5D6E-409C-BE32-E72D297353CC}">
              <c16:uniqueId val="{00000001-52E1-40AF-AADE-3873D93F887E}"/>
            </c:ext>
          </c:extLst>
        </c:ser>
        <c:dLbls>
          <c:showLegendKey val="0"/>
          <c:showVal val="0"/>
          <c:showCatName val="0"/>
          <c:showSerName val="0"/>
          <c:showPercent val="0"/>
          <c:showBubbleSize val="0"/>
        </c:dLbls>
        <c:gapWidth val="150"/>
        <c:axId val="867808719"/>
        <c:axId val="1"/>
      </c:barChart>
      <c:catAx>
        <c:axId val="867808719"/>
        <c:scaling>
          <c:orientation val="minMax"/>
        </c:scaling>
        <c:delete val="0"/>
        <c:axPos val="b"/>
        <c:numFmt formatCode="General"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67808719"/>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766" l="0.70000000000000062" r="0.70000000000000062" t="0.750000000000007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114300</xdr:colOff>
      <xdr:row>332</xdr:row>
      <xdr:rowOff>228600</xdr:rowOff>
    </xdr:from>
    <xdr:to>
      <xdr:col>20</xdr:col>
      <xdr:colOff>342900</xdr:colOff>
      <xdr:row>343</xdr:row>
      <xdr:rowOff>95250</xdr:rowOff>
    </xdr:to>
    <xdr:graphicFrame macro="">
      <xdr:nvGraphicFramePr>
        <xdr:cNvPr id="2" name="Chart 8">
          <a:extLst>
            <a:ext uri="{FF2B5EF4-FFF2-40B4-BE49-F238E27FC236}">
              <a16:creationId xmlns:a16="http://schemas.microsoft.com/office/drawing/2014/main" id="{168B2666-D8BF-469A-8FBC-11FD0554E5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RIF\UPK\LAPORAN%20KEUANGAN%202018%20Utk%20BPPKAD\CALK%20EVLAP%20DISPARBUD%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BACA DULU"/>
      <sheetName val="2.ISIAN DATA SKPD"/>
      <sheetName val="3.LRA"/>
      <sheetName val="4.NERACA"/>
      <sheetName val="5.LO"/>
      <sheetName val="6.LPE"/>
      <sheetName val="SAMPUL"/>
      <sheetName val="Depan"/>
      <sheetName val="Template LRA"/>
      <sheetName val="Template Neraca"/>
      <sheetName val="Template LO"/>
      <sheetName val="Template LPE"/>
      <sheetName val="Calk Umum"/>
      <sheetName val="Sheet1"/>
    </sheetNames>
    <sheetDataSet>
      <sheetData sheetId="0"/>
      <sheetData sheetId="1">
        <row r="2">
          <cell r="D2" t="str">
            <v>Dinas Pariwisata Dan Kebudayaan</v>
          </cell>
        </row>
        <row r="8">
          <cell r="D8" t="str">
            <v>31 Desember 2018</v>
          </cell>
        </row>
        <row r="9">
          <cell r="D9" t="str">
            <v>31 Desember 2017</v>
          </cell>
        </row>
        <row r="10">
          <cell r="D10" t="str">
            <v>31 Desember 2018</v>
          </cell>
        </row>
        <row r="11">
          <cell r="D11">
            <v>2018</v>
          </cell>
        </row>
        <row r="12">
          <cell r="D12">
            <v>2017</v>
          </cell>
        </row>
        <row r="13">
          <cell r="D13" t="str">
            <v>Drs. One Andang Wardoyo,M.Si</v>
          </cell>
        </row>
        <row r="14">
          <cell r="D14" t="str">
            <v>19680925 198803 1 003</v>
          </cell>
        </row>
        <row r="19">
          <cell r="D19" t="str">
            <v>15 Februari 2019</v>
          </cell>
        </row>
        <row r="405">
          <cell r="D405">
            <v>0</v>
          </cell>
        </row>
        <row r="406">
          <cell r="D406">
            <v>0</v>
          </cell>
        </row>
      </sheetData>
      <sheetData sheetId="2">
        <row r="5">
          <cell r="D5">
            <v>3713000000</v>
          </cell>
          <cell r="E5">
            <v>3828929000</v>
          </cell>
        </row>
        <row r="6">
          <cell r="D6">
            <v>0</v>
          </cell>
          <cell r="E6">
            <v>0</v>
          </cell>
        </row>
        <row r="7">
          <cell r="D7">
            <v>0</v>
          </cell>
          <cell r="E7">
            <v>0</v>
          </cell>
        </row>
        <row r="10">
          <cell r="D10">
            <v>132512250</v>
          </cell>
          <cell r="E10">
            <v>9664338468</v>
          </cell>
        </row>
        <row r="11">
          <cell r="D11">
            <v>7527695000</v>
          </cell>
          <cell r="E11">
            <v>2507400000</v>
          </cell>
        </row>
        <row r="12">
          <cell r="D12">
            <v>0</v>
          </cell>
          <cell r="E12">
            <v>0</v>
          </cell>
        </row>
        <row r="13">
          <cell r="D13">
            <v>0</v>
          </cell>
          <cell r="E13">
            <v>0</v>
          </cell>
        </row>
        <row r="18">
          <cell r="D18">
            <v>3828929</v>
          </cell>
          <cell r="E18">
            <v>12984000</v>
          </cell>
          <cell r="G18">
            <v>9155071</v>
          </cell>
          <cell r="I18">
            <v>3742363000</v>
          </cell>
        </row>
        <row r="20">
          <cell r="D20">
            <v>0</v>
          </cell>
          <cell r="E20">
            <v>0</v>
          </cell>
          <cell r="I20">
            <v>0</v>
          </cell>
        </row>
        <row r="21">
          <cell r="D21">
            <v>3828929</v>
          </cell>
          <cell r="E21">
            <v>12984000</v>
          </cell>
          <cell r="I21">
            <v>3742363000</v>
          </cell>
        </row>
        <row r="22">
          <cell r="D22">
            <v>0</v>
          </cell>
          <cell r="I22">
            <v>0</v>
          </cell>
        </row>
        <row r="23">
          <cell r="D23">
            <v>0</v>
          </cell>
          <cell r="E23">
            <v>0</v>
          </cell>
          <cell r="I23">
            <v>0</v>
          </cell>
        </row>
        <row r="24">
          <cell r="D24">
            <v>0</v>
          </cell>
          <cell r="I24">
            <v>0</v>
          </cell>
        </row>
        <row r="26">
          <cell r="C26" t="str">
            <v>Transfer Pemerintah Pusat ( Dana Perimbangan)</v>
          </cell>
          <cell r="D26">
            <v>0</v>
          </cell>
          <cell r="E26">
            <v>0</v>
          </cell>
          <cell r="I26">
            <v>0</v>
          </cell>
        </row>
        <row r="27">
          <cell r="C27" t="str">
            <v>Transfer Pemerintah Pusat Lainnya</v>
          </cell>
          <cell r="D27">
            <v>0</v>
          </cell>
          <cell r="E27">
            <v>0</v>
          </cell>
          <cell r="I27">
            <v>0</v>
          </cell>
        </row>
        <row r="28">
          <cell r="C28" t="str">
            <v>Transfer Pemerintah Profinsi</v>
          </cell>
          <cell r="D28">
            <v>0</v>
          </cell>
          <cell r="E28">
            <v>0</v>
          </cell>
          <cell r="I28">
            <v>0</v>
          </cell>
        </row>
        <row r="30">
          <cell r="C30" t="str">
            <v>Pendapatan Hibah</v>
          </cell>
          <cell r="D30">
            <v>0</v>
          </cell>
          <cell r="E30">
            <v>0</v>
          </cell>
          <cell r="I30">
            <v>0</v>
          </cell>
        </row>
        <row r="31">
          <cell r="C31" t="str">
            <v>Pendapatan Dana darurat</v>
          </cell>
          <cell r="D31">
            <v>0</v>
          </cell>
          <cell r="E31">
            <v>0</v>
          </cell>
          <cell r="I31">
            <v>0</v>
          </cell>
        </row>
        <row r="32">
          <cell r="C32" t="str">
            <v>Pendapatan Lainnya</v>
          </cell>
          <cell r="D32">
            <v>0</v>
          </cell>
          <cell r="E32">
            <v>0</v>
          </cell>
          <cell r="I32">
            <v>0</v>
          </cell>
        </row>
        <row r="37">
          <cell r="D37">
            <v>27821118796</v>
          </cell>
          <cell r="E37">
            <v>92329325206</v>
          </cell>
          <cell r="I37">
            <v>11259219435</v>
          </cell>
        </row>
        <row r="38">
          <cell r="C38" t="str">
            <v>BELANJA OPERASI</v>
          </cell>
          <cell r="D38">
            <v>11922982796</v>
          </cell>
          <cell r="E38">
            <v>9662122630</v>
          </cell>
          <cell r="I38">
            <v>8770653435</v>
          </cell>
        </row>
        <row r="39">
          <cell r="C39" t="str">
            <v>Belanja Pegawai</v>
          </cell>
          <cell r="D39">
            <v>4598610078</v>
          </cell>
          <cell r="E39">
            <v>4064787469</v>
          </cell>
          <cell r="I39">
            <v>3809977007</v>
          </cell>
        </row>
        <row r="40">
          <cell r="C40" t="str">
            <v xml:space="preserve"> Gaji dan Tunjangan Pegawai</v>
          </cell>
          <cell r="D40">
            <v>1963437315</v>
          </cell>
          <cell r="E40">
            <v>1774703000</v>
          </cell>
          <cell r="I40">
            <v>2218640757</v>
          </cell>
        </row>
        <row r="41">
          <cell r="C41" t="str">
            <v>Tambahan Penghasilan PNS</v>
          </cell>
          <cell r="D41">
            <v>2200505763</v>
          </cell>
          <cell r="E41">
            <v>1935671269</v>
          </cell>
          <cell r="I41">
            <v>1280611250</v>
          </cell>
        </row>
        <row r="42">
          <cell r="C42" t="str">
            <v xml:space="preserve"> Insentif Pemungutan Pajak</v>
          </cell>
          <cell r="D42">
            <v>0</v>
          </cell>
          <cell r="E42">
            <v>0</v>
          </cell>
          <cell r="I42">
            <v>0</v>
          </cell>
        </row>
        <row r="43">
          <cell r="C43" t="str">
            <v>Insentif Pemungutan Retribusi</v>
          </cell>
          <cell r="D43">
            <v>185650000</v>
          </cell>
          <cell r="E43">
            <v>147438200</v>
          </cell>
          <cell r="I43">
            <v>130121000</v>
          </cell>
        </row>
        <row r="44">
          <cell r="C44" t="str">
            <v xml:space="preserve"> Honorarium PNS</v>
          </cell>
          <cell r="D44">
            <v>244205000</v>
          </cell>
          <cell r="E44">
            <v>202229000</v>
          </cell>
          <cell r="I44">
            <v>169865000</v>
          </cell>
        </row>
        <row r="45">
          <cell r="C45" t="str">
            <v>Uang Lembur</v>
          </cell>
          <cell r="D45">
            <v>4812000</v>
          </cell>
          <cell r="E45">
            <v>4746000</v>
          </cell>
          <cell r="I45">
            <v>3239000</v>
          </cell>
        </row>
        <row r="46">
          <cell r="C46" t="str">
            <v>Uang untuk diberikan pada pihak ketiga/masyarakat</v>
          </cell>
          <cell r="I46">
            <v>7500000</v>
          </cell>
        </row>
        <row r="47">
          <cell r="C47" t="str">
            <v xml:space="preserve">Belanja Barang </v>
          </cell>
          <cell r="D47">
            <v>7324372718</v>
          </cell>
          <cell r="E47">
            <v>5597335161</v>
          </cell>
          <cell r="I47">
            <v>4960676428</v>
          </cell>
          <cell r="K47">
            <v>12.834111279793396</v>
          </cell>
          <cell r="L47">
            <v>636658733</v>
          </cell>
        </row>
        <row r="48">
          <cell r="C48" t="str">
            <v>Belanja Bahan Pakai Habis</v>
          </cell>
          <cell r="D48">
            <v>40943200</v>
          </cell>
          <cell r="E48">
            <v>40135300</v>
          </cell>
          <cell r="I48">
            <v>147668450</v>
          </cell>
        </row>
        <row r="49">
          <cell r="C49" t="str">
            <v>Belanja Bahan/Material</v>
          </cell>
          <cell r="D49">
            <v>231109000</v>
          </cell>
          <cell r="E49">
            <v>230659000</v>
          </cell>
          <cell r="I49">
            <v>380542200</v>
          </cell>
        </row>
        <row r="50">
          <cell r="C50" t="str">
            <v>Belanja Jasa Kantor</v>
          </cell>
          <cell r="D50">
            <v>1740340000</v>
          </cell>
          <cell r="E50">
            <v>1681736082</v>
          </cell>
          <cell r="I50">
            <v>2501754194</v>
          </cell>
        </row>
        <row r="51">
          <cell r="C51" t="str">
            <v>Belanja Perawatan Kendaraan Bermotor</v>
          </cell>
          <cell r="D51">
            <v>67350000</v>
          </cell>
          <cell r="E51">
            <v>60110192</v>
          </cell>
          <cell r="I51">
            <v>49824128</v>
          </cell>
        </row>
        <row r="52">
          <cell r="C52" t="str">
            <v>Belanja Cetak dan Penggandaan</v>
          </cell>
          <cell r="D52">
            <v>201175950</v>
          </cell>
          <cell r="E52">
            <v>195398350</v>
          </cell>
          <cell r="I52">
            <v>113123150</v>
          </cell>
        </row>
        <row r="53">
          <cell r="C53" t="str">
            <v>Belanja Sewa Rumah/Gedung/ Gudang/Parkir</v>
          </cell>
          <cell r="D53">
            <v>66300000</v>
          </cell>
          <cell r="E53">
            <v>66300000</v>
          </cell>
          <cell r="I53">
            <v>128686216</v>
          </cell>
        </row>
        <row r="54">
          <cell r="C54" t="str">
            <v>Belanja Sewa Sarana Mobilitas</v>
          </cell>
          <cell r="D54">
            <v>80650000</v>
          </cell>
          <cell r="E54">
            <v>77150000</v>
          </cell>
          <cell r="I54">
            <v>46000000</v>
          </cell>
        </row>
        <row r="55">
          <cell r="C55" t="str">
            <v>Belanja Sewa Perlengkapan dan Peralatan Kantor</v>
          </cell>
          <cell r="D55">
            <v>163970000</v>
          </cell>
          <cell r="E55">
            <v>163970000</v>
          </cell>
          <cell r="I55">
            <v>96218500</v>
          </cell>
        </row>
        <row r="56">
          <cell r="C56" t="str">
            <v>Belanja Makanan dan Minuman</v>
          </cell>
          <cell r="D56">
            <v>705422000</v>
          </cell>
          <cell r="E56">
            <v>663648500</v>
          </cell>
          <cell r="I56">
            <v>409410500</v>
          </cell>
        </row>
        <row r="57">
          <cell r="C57" t="str">
            <v>Belanja Pakaian Kerja</v>
          </cell>
          <cell r="D57">
            <v>41975000</v>
          </cell>
          <cell r="E57">
            <v>41975000</v>
          </cell>
          <cell r="I57">
            <v>12000000</v>
          </cell>
        </row>
        <row r="58">
          <cell r="C58" t="str">
            <v>Belanja Perjalanan Dinas</v>
          </cell>
          <cell r="D58">
            <v>544259568</v>
          </cell>
          <cell r="E58">
            <v>512102737</v>
          </cell>
          <cell r="I58">
            <v>339133490</v>
          </cell>
        </row>
        <row r="59">
          <cell r="C59" t="str">
            <v>Belanja kursus pelatihan, sosialisasi dan Bintek PNS</v>
          </cell>
          <cell r="I59">
            <v>29029000</v>
          </cell>
        </row>
        <row r="60">
          <cell r="C60" t="str">
            <v>Belanja Hibah Barang atau Jasa kepada Masyarakat/pihak ketiga</v>
          </cell>
          <cell r="D60">
            <v>2520000000</v>
          </cell>
          <cell r="E60">
            <v>954935000</v>
          </cell>
        </row>
        <row r="61">
          <cell r="C61" t="str">
            <v>Uang untuk diberikan kepada masyarakat/pihak ketiga</v>
          </cell>
          <cell r="D61">
            <v>109000000</v>
          </cell>
          <cell r="E61">
            <v>109000000</v>
          </cell>
        </row>
        <row r="62">
          <cell r="C62" t="str">
            <v>Belanja Pakaian Khusus dan hari-hari tertentu</v>
          </cell>
          <cell r="D62">
            <v>37200000</v>
          </cell>
          <cell r="E62">
            <v>37200000</v>
          </cell>
          <cell r="I62">
            <v>30140000</v>
          </cell>
        </row>
        <row r="63">
          <cell r="C63" t="str">
            <v>Belanja Honorarium Non Pegawai</v>
          </cell>
          <cell r="E63">
            <v>0</v>
          </cell>
          <cell r="I63">
            <v>0</v>
          </cell>
        </row>
        <row r="64">
          <cell r="C64" t="str">
            <v>Honorarium PNS</v>
          </cell>
          <cell r="I64">
            <v>0</v>
          </cell>
        </row>
        <row r="65">
          <cell r="C65" t="str">
            <v>Honorarium Non PNS</v>
          </cell>
          <cell r="D65">
            <v>770928000</v>
          </cell>
          <cell r="E65">
            <v>759265000</v>
          </cell>
          <cell r="I65">
            <v>0</v>
          </cell>
        </row>
        <row r="66">
          <cell r="C66" t="str">
            <v>Belanja Stimulan, uang saku,hadiah penghargaan, penggantian biaya</v>
          </cell>
          <cell r="D66">
            <v>3750000</v>
          </cell>
          <cell r="E66">
            <v>3750000</v>
          </cell>
          <cell r="I66">
            <v>0</v>
          </cell>
        </row>
        <row r="67">
          <cell r="C67" t="str">
            <v>Belanja Barang dan Jasa BLUD</v>
          </cell>
          <cell r="I67">
            <v>0</v>
          </cell>
        </row>
        <row r="68">
          <cell r="C68" t="str">
            <v>BELANJA MODAL</v>
          </cell>
          <cell r="D68">
            <v>15898136000</v>
          </cell>
          <cell r="E68">
            <v>82667202576</v>
          </cell>
          <cell r="I68">
            <v>2488566000</v>
          </cell>
          <cell r="K68">
            <v>3221.8810582480032</v>
          </cell>
          <cell r="L68">
            <v>80178636576</v>
          </cell>
        </row>
        <row r="69">
          <cell r="D69">
            <v>3000000000</v>
          </cell>
        </row>
        <row r="70">
          <cell r="C70" t="str">
            <v>Belanja Modal Tanah Bangunan Gedung</v>
          </cell>
          <cell r="D70">
            <v>3000000000</v>
          </cell>
          <cell r="E70">
            <v>2892437048</v>
          </cell>
        </row>
        <row r="71">
          <cell r="C71" t="str">
            <v>Belanja Modal Tanah Bangunan Bukan Gedung</v>
          </cell>
          <cell r="D71">
            <v>0</v>
          </cell>
          <cell r="E71">
            <v>0</v>
          </cell>
          <cell r="I71">
            <v>0</v>
          </cell>
        </row>
        <row r="72">
          <cell r="D72">
            <v>394600000</v>
          </cell>
        </row>
        <row r="73">
          <cell r="C73" t="str">
            <v>Pengadaan Alat Bantu</v>
          </cell>
          <cell r="D73">
            <v>52100000</v>
          </cell>
          <cell r="E73">
            <v>50021000</v>
          </cell>
          <cell r="I73">
            <v>0</v>
          </cell>
        </row>
        <row r="74">
          <cell r="C74" t="str">
            <v>Pengadaan Alat Angkutan</v>
          </cell>
          <cell r="D74">
            <v>23042500</v>
          </cell>
          <cell r="E74">
            <v>0</v>
          </cell>
          <cell r="I74">
            <v>0</v>
          </cell>
        </row>
        <row r="75">
          <cell r="C75" t="str">
            <v>Pengadaan Alat Kantor</v>
          </cell>
          <cell r="D75">
            <v>60000000</v>
          </cell>
          <cell r="E75">
            <v>58846000</v>
          </cell>
          <cell r="I75">
            <v>0</v>
          </cell>
        </row>
        <row r="76">
          <cell r="C76" t="str">
            <v>Pengadaan Alat Rumah Tangga</v>
          </cell>
          <cell r="D76">
            <v>33817500</v>
          </cell>
          <cell r="E76">
            <v>33377500</v>
          </cell>
          <cell r="I76">
            <v>12870000</v>
          </cell>
        </row>
        <row r="77">
          <cell r="C77" t="str">
            <v>Pengadaan Komputer</v>
          </cell>
          <cell r="D77">
            <v>63190000</v>
          </cell>
          <cell r="E77">
            <v>60342000</v>
          </cell>
          <cell r="I77">
            <v>0</v>
          </cell>
        </row>
        <row r="78">
          <cell r="C78" t="str">
            <v>Pengadaan Alat Studio</v>
          </cell>
          <cell r="D78">
            <v>152050000</v>
          </cell>
          <cell r="E78">
            <v>151595000</v>
          </cell>
          <cell r="I78">
            <v>0</v>
          </cell>
        </row>
        <row r="79">
          <cell r="C79" t="str">
            <v>Pengadaan Alat komunikasi</v>
          </cell>
          <cell r="D79">
            <v>10400000</v>
          </cell>
          <cell r="E79">
            <v>8318000</v>
          </cell>
          <cell r="I79">
            <v>0</v>
          </cell>
        </row>
        <row r="80">
          <cell r="C80" t="str">
            <v>Pengadaan alat Kedokteran</v>
          </cell>
          <cell r="D80">
            <v>0</v>
          </cell>
          <cell r="E80">
            <v>0</v>
          </cell>
          <cell r="I80">
            <v>0</v>
          </cell>
        </row>
        <row r="81">
          <cell r="C81" t="str">
            <v>Pengadaan alat Kesehatan</v>
          </cell>
          <cell r="D81">
            <v>0</v>
          </cell>
          <cell r="E81">
            <v>0</v>
          </cell>
          <cell r="I81">
            <v>0</v>
          </cell>
        </row>
        <row r="82">
          <cell r="D82">
            <v>12433536000</v>
          </cell>
        </row>
        <row r="87">
          <cell r="D87">
            <v>0</v>
          </cell>
        </row>
        <row r="88">
          <cell r="C88" t="str">
            <v>Jalan</v>
          </cell>
        </row>
        <row r="89">
          <cell r="C89" t="str">
            <v>Irigasi</v>
          </cell>
          <cell r="D89">
            <v>0</v>
          </cell>
          <cell r="E89">
            <v>0</v>
          </cell>
          <cell r="I89">
            <v>0</v>
          </cell>
        </row>
        <row r="90">
          <cell r="C90" t="str">
            <v>Jembatan</v>
          </cell>
          <cell r="D90">
            <v>0</v>
          </cell>
          <cell r="E90">
            <v>0</v>
          </cell>
          <cell r="I90">
            <v>0</v>
          </cell>
        </row>
        <row r="91">
          <cell r="D91">
            <v>0</v>
          </cell>
        </row>
        <row r="92">
          <cell r="C92" t="str">
            <v>- Pengadaan buku</v>
          </cell>
        </row>
        <row r="93">
          <cell r="C93" t="str">
            <v>- Pengadaan Tanaman</v>
          </cell>
          <cell r="D93">
            <v>0</v>
          </cell>
          <cell r="E93">
            <v>0</v>
          </cell>
          <cell r="I93">
            <v>0</v>
          </cell>
        </row>
        <row r="94">
          <cell r="C94" t="str">
            <v>- Pengadaan AT Renovasi</v>
          </cell>
          <cell r="D94">
            <v>0</v>
          </cell>
          <cell r="E94">
            <v>0</v>
          </cell>
          <cell r="I94">
            <v>0</v>
          </cell>
        </row>
        <row r="95">
          <cell r="C95" t="str">
            <v>Belanja Aset Lainnya</v>
          </cell>
          <cell r="D95">
            <v>70000000</v>
          </cell>
          <cell r="E95">
            <v>67045000000</v>
          </cell>
          <cell r="I95">
            <v>0</v>
          </cell>
        </row>
        <row r="97">
          <cell r="C97" t="str">
            <v>BELANJA TAK TERDUGA</v>
          </cell>
          <cell r="D97">
            <v>0</v>
          </cell>
          <cell r="E97">
            <v>0</v>
          </cell>
          <cell r="I97">
            <v>0</v>
          </cell>
        </row>
        <row r="98">
          <cell r="C98" t="str">
            <v>TRANSFER</v>
          </cell>
          <cell r="D98">
            <v>0</v>
          </cell>
          <cell r="E98">
            <v>0</v>
          </cell>
          <cell r="I98">
            <v>0</v>
          </cell>
        </row>
        <row r="107">
          <cell r="D107">
            <v>0</v>
          </cell>
          <cell r="E107">
            <v>0</v>
          </cell>
          <cell r="I107">
            <v>0</v>
          </cell>
        </row>
        <row r="113">
          <cell r="D113">
            <v>0</v>
          </cell>
          <cell r="E113">
            <v>0</v>
          </cell>
          <cell r="I113">
            <v>0</v>
          </cell>
        </row>
        <row r="120">
          <cell r="C120" t="str">
            <v>Belanja Tanah</v>
          </cell>
          <cell r="E120">
            <v>2892437048</v>
          </cell>
          <cell r="F120">
            <v>0</v>
          </cell>
        </row>
        <row r="121">
          <cell r="C121" t="str">
            <v>Belanja Peralatan dan Mesin</v>
          </cell>
          <cell r="E121">
            <v>362499500</v>
          </cell>
          <cell r="F121">
            <v>12870000</v>
          </cell>
        </row>
        <row r="122">
          <cell r="C122" t="str">
            <v xml:space="preserve"> Belanja Gedung dan Bangunan</v>
          </cell>
          <cell r="E122">
            <v>12367266028</v>
          </cell>
          <cell r="F122">
            <v>2182568000</v>
          </cell>
        </row>
        <row r="123">
          <cell r="C123" t="str">
            <v xml:space="preserve">Belanja Jalan, Irigasi dan Jaringan </v>
          </cell>
          <cell r="E123">
            <v>0</v>
          </cell>
          <cell r="F123">
            <v>293128000</v>
          </cell>
        </row>
        <row r="124">
          <cell r="C124" t="str">
            <v xml:space="preserve"> Belanja Aset Tetap Lainnya</v>
          </cell>
          <cell r="E124">
            <v>0</v>
          </cell>
          <cell r="F124">
            <v>0</v>
          </cell>
        </row>
      </sheetData>
      <sheetData sheetId="3">
        <row r="5">
          <cell r="D5">
            <v>25896888324.400402</v>
          </cell>
          <cell r="I5">
            <v>40484719525.500397</v>
          </cell>
        </row>
        <row r="7">
          <cell r="I7">
            <v>91266800</v>
          </cell>
        </row>
        <row r="9">
          <cell r="D9">
            <v>91266800</v>
          </cell>
          <cell r="I9">
            <v>91266800</v>
          </cell>
        </row>
        <row r="10">
          <cell r="D10">
            <v>0</v>
          </cell>
          <cell r="I10">
            <v>0</v>
          </cell>
        </row>
        <row r="11">
          <cell r="D11">
            <v>0</v>
          </cell>
          <cell r="I11">
            <v>0</v>
          </cell>
        </row>
        <row r="12">
          <cell r="D12">
            <v>0</v>
          </cell>
          <cell r="I12">
            <v>0</v>
          </cell>
        </row>
        <row r="14">
          <cell r="I14">
            <v>0</v>
          </cell>
        </row>
        <row r="22">
          <cell r="I22">
            <v>10616000</v>
          </cell>
        </row>
        <row r="23">
          <cell r="C23" t="str">
            <v>Piutang Pajak</v>
          </cell>
          <cell r="D23">
            <v>0</v>
          </cell>
          <cell r="I23">
            <v>0</v>
          </cell>
        </row>
        <row r="24">
          <cell r="C24" t="str">
            <v>Piutang Retribusi</v>
          </cell>
          <cell r="D24">
            <v>12984000</v>
          </cell>
          <cell r="I24">
            <v>10616000</v>
          </cell>
        </row>
        <row r="25">
          <cell r="C25" t="str">
            <v>Piutang Hasil Pengelolaan Kekayaan Daerah yang Dipisahkan</v>
          </cell>
          <cell r="D25">
            <v>0</v>
          </cell>
          <cell r="I25">
            <v>0</v>
          </cell>
        </row>
        <row r="26">
          <cell r="C26" t="str">
            <v>Piutang Lain-lain PAD yang Sah</v>
          </cell>
          <cell r="D26">
            <v>0</v>
          </cell>
          <cell r="I26">
            <v>0</v>
          </cell>
        </row>
        <row r="27">
          <cell r="C27" t="str">
            <v>Piutang Pendapatan Lainnya</v>
          </cell>
          <cell r="D27">
            <v>0</v>
          </cell>
          <cell r="I27">
            <v>0</v>
          </cell>
        </row>
        <row r="34">
          <cell r="I34">
            <v>0</v>
          </cell>
        </row>
        <row r="37">
          <cell r="D37">
            <v>0</v>
          </cell>
          <cell r="I37">
            <v>0</v>
          </cell>
        </row>
        <row r="38">
          <cell r="C38" t="str">
            <v>Beban Pegawai  Dibayar Dimuka</v>
          </cell>
          <cell r="D38">
            <v>0</v>
          </cell>
          <cell r="I38">
            <v>0</v>
          </cell>
        </row>
        <row r="39">
          <cell r="C39" t="str">
            <v>Beban Barang Dibayar Dimuka</v>
          </cell>
          <cell r="I39">
            <v>0</v>
          </cell>
        </row>
        <row r="40">
          <cell r="C40" t="str">
            <v>Beban Jasa Dibayar Dimuka</v>
          </cell>
          <cell r="D40">
            <v>0</v>
          </cell>
          <cell r="I40">
            <v>0</v>
          </cell>
        </row>
        <row r="41">
          <cell r="C41" t="str">
            <v>Beban Pemeliharaan Dibayar Dimuka</v>
          </cell>
          <cell r="D41">
            <v>0</v>
          </cell>
          <cell r="I41">
            <v>0</v>
          </cell>
        </row>
        <row r="42">
          <cell r="C42" t="str">
            <v>Beban Lainnya</v>
          </cell>
          <cell r="D42">
            <v>0</v>
          </cell>
        </row>
        <row r="43">
          <cell r="I43">
            <v>18325683</v>
          </cell>
        </row>
        <row r="44">
          <cell r="C44" t="str">
            <v>Persediaan Bahan Pakai Habis</v>
          </cell>
          <cell r="D44">
            <v>10955445</v>
          </cell>
          <cell r="I44">
            <v>18325683</v>
          </cell>
        </row>
        <row r="45">
          <cell r="C45" t="str">
            <v>Persediaan Bahan/Material</v>
          </cell>
          <cell r="D45">
            <v>0</v>
          </cell>
          <cell r="I45">
            <v>0</v>
          </cell>
        </row>
        <row r="46">
          <cell r="C46" t="str">
            <v>Persediaan Barang Lainnya</v>
          </cell>
          <cell r="D46">
            <v>0</v>
          </cell>
          <cell r="I46">
            <v>0</v>
          </cell>
        </row>
        <row r="62">
          <cell r="D62">
            <v>9398211335</v>
          </cell>
          <cell r="E62">
            <v>0</v>
          </cell>
          <cell r="F62">
            <v>0</v>
          </cell>
          <cell r="G62">
            <v>2892437048</v>
          </cell>
          <cell r="H62">
            <v>0</v>
          </cell>
          <cell r="I62">
            <v>12290648383</v>
          </cell>
        </row>
        <row r="63">
          <cell r="C63" t="str">
            <v>Tanah Perkampungan</v>
          </cell>
          <cell r="I63">
            <v>0</v>
          </cell>
        </row>
        <row r="64">
          <cell r="C64" t="str">
            <v>Tanah Pertanian</v>
          </cell>
          <cell r="I64">
            <v>0</v>
          </cell>
        </row>
        <row r="65">
          <cell r="C65" t="str">
            <v>Tanah Perkebunan</v>
          </cell>
          <cell r="I65">
            <v>0</v>
          </cell>
        </row>
        <row r="66">
          <cell r="C66" t="str">
            <v>Kebun Campuran</v>
          </cell>
          <cell r="I66">
            <v>0</v>
          </cell>
        </row>
        <row r="67">
          <cell r="C67" t="str">
            <v>Hutan</v>
          </cell>
          <cell r="I67">
            <v>0</v>
          </cell>
        </row>
        <row r="68">
          <cell r="C68" t="str">
            <v>Kolam ilan</v>
          </cell>
          <cell r="I68">
            <v>0</v>
          </cell>
        </row>
        <row r="69">
          <cell r="C69" t="str">
            <v>Danau/Rawa</v>
          </cell>
          <cell r="I69">
            <v>0</v>
          </cell>
        </row>
        <row r="70">
          <cell r="C70" t="str">
            <v>Tanah Tandus/Rusak</v>
          </cell>
          <cell r="I70">
            <v>0</v>
          </cell>
        </row>
        <row r="71">
          <cell r="C71" t="str">
            <v>Alang-alang dan Padang Rumput</v>
          </cell>
          <cell r="I71">
            <v>0</v>
          </cell>
        </row>
        <row r="72">
          <cell r="C72" t="str">
            <v>Tanah Pengguna Lain</v>
          </cell>
          <cell r="I72">
            <v>0</v>
          </cell>
        </row>
        <row r="73">
          <cell r="C73" t="str">
            <v>Tanah Untuk Bangunan Gedung</v>
          </cell>
          <cell r="I73">
            <v>11385722913</v>
          </cell>
        </row>
        <row r="74">
          <cell r="C74" t="str">
            <v>Tanah Pertambangan</v>
          </cell>
          <cell r="I74">
            <v>0</v>
          </cell>
        </row>
        <row r="75">
          <cell r="C75" t="str">
            <v>Tanah Untuk Bangunan Bukan Gedung</v>
          </cell>
          <cell r="I75">
            <v>904925470</v>
          </cell>
        </row>
        <row r="76">
          <cell r="D76">
            <v>1594575563.0004001</v>
          </cell>
          <cell r="E76">
            <v>241246072</v>
          </cell>
          <cell r="F76">
            <v>262960820</v>
          </cell>
          <cell r="G76">
            <v>367459500</v>
          </cell>
          <cell r="H76">
            <v>75208000</v>
          </cell>
          <cell r="I76">
            <v>1865112315.0004001</v>
          </cell>
        </row>
        <row r="77">
          <cell r="C77" t="str">
            <v>Alat-Alat Besar Darat</v>
          </cell>
          <cell r="D77">
            <v>0</v>
          </cell>
          <cell r="E77">
            <v>0</v>
          </cell>
          <cell r="H77">
            <v>0</v>
          </cell>
          <cell r="I77">
            <v>0</v>
          </cell>
          <cell r="K77">
            <v>0</v>
          </cell>
        </row>
        <row r="78">
          <cell r="C78" t="str">
            <v>Alat-alat Bantu</v>
          </cell>
          <cell r="D78">
            <v>0</v>
          </cell>
          <cell r="E78">
            <v>5000000</v>
          </cell>
          <cell r="F78">
            <v>5000000</v>
          </cell>
          <cell r="G78">
            <v>5000000</v>
          </cell>
          <cell r="H78">
            <v>0</v>
          </cell>
          <cell r="I78">
            <v>5000000</v>
          </cell>
        </row>
        <row r="79">
          <cell r="C79" t="str">
            <v>Alat Angkutan Darat Bermotor</v>
          </cell>
          <cell r="D79">
            <v>640844804</v>
          </cell>
          <cell r="E79">
            <v>0</v>
          </cell>
          <cell r="F79">
            <v>0</v>
          </cell>
          <cell r="G79">
            <v>0</v>
          </cell>
          <cell r="H79">
            <v>75208000</v>
          </cell>
          <cell r="I79">
            <v>565636804</v>
          </cell>
        </row>
        <row r="80">
          <cell r="C80" t="str">
            <v>Alat Angkutan Berat Tak Bermotor</v>
          </cell>
          <cell r="D80">
            <v>0</v>
          </cell>
          <cell r="E80">
            <v>0</v>
          </cell>
          <cell r="F80">
            <v>0</v>
          </cell>
          <cell r="G80">
            <v>0</v>
          </cell>
          <cell r="H80">
            <v>0</v>
          </cell>
          <cell r="I80">
            <v>0</v>
          </cell>
        </row>
        <row r="81">
          <cell r="C81" t="str">
            <v>Alat Ukur</v>
          </cell>
          <cell r="D81">
            <v>12283700</v>
          </cell>
          <cell r="E81">
            <v>0</v>
          </cell>
          <cell r="F81">
            <v>0</v>
          </cell>
          <cell r="G81">
            <v>0</v>
          </cell>
          <cell r="H81">
            <v>0</v>
          </cell>
          <cell r="I81">
            <v>12283700</v>
          </cell>
          <cell r="J81">
            <v>0</v>
          </cell>
          <cell r="K81">
            <v>0</v>
          </cell>
        </row>
        <row r="82">
          <cell r="C82" t="str">
            <v>Alat Kantor</v>
          </cell>
          <cell r="D82">
            <v>379721850</v>
          </cell>
          <cell r="E82">
            <v>6400000</v>
          </cell>
          <cell r="F82">
            <v>51280910</v>
          </cell>
          <cell r="G82">
            <v>58846000</v>
          </cell>
          <cell r="H82">
            <v>0</v>
          </cell>
          <cell r="I82">
            <v>393686940</v>
          </cell>
          <cell r="J82">
            <v>3.6777156753028568</v>
          </cell>
          <cell r="K82">
            <v>13965090</v>
          </cell>
        </row>
        <row r="83">
          <cell r="C83" t="str">
            <v>Alat Rumah Tangga</v>
          </cell>
          <cell r="D83">
            <v>296629537.00040001</v>
          </cell>
          <cell r="E83">
            <v>82606455</v>
          </cell>
          <cell r="F83">
            <v>0</v>
          </cell>
          <cell r="G83">
            <v>0</v>
          </cell>
          <cell r="H83">
            <v>0</v>
          </cell>
          <cell r="I83">
            <v>379235992.00040001</v>
          </cell>
        </row>
        <row r="84">
          <cell r="C84" t="str">
            <v>Komputer</v>
          </cell>
          <cell r="D84">
            <v>196968672</v>
          </cell>
          <cell r="E84">
            <v>41059789</v>
          </cell>
          <cell r="F84">
            <v>14054789</v>
          </cell>
          <cell r="G84">
            <v>60342000</v>
          </cell>
          <cell r="H84">
            <v>0</v>
          </cell>
          <cell r="I84">
            <v>284315672</v>
          </cell>
        </row>
        <row r="85">
          <cell r="C85" t="str">
            <v>Meja Dan Kursi Kerja/Rapat Pejabat</v>
          </cell>
          <cell r="D85">
            <v>31935000</v>
          </cell>
          <cell r="E85">
            <v>0</v>
          </cell>
          <cell r="F85">
            <v>12958750</v>
          </cell>
          <cell r="G85">
            <v>33337500</v>
          </cell>
          <cell r="H85">
            <v>0</v>
          </cell>
          <cell r="I85">
            <v>52313750</v>
          </cell>
        </row>
        <row r="86">
          <cell r="C86" t="str">
            <v>Alat Studio</v>
          </cell>
          <cell r="D86">
            <v>32778000</v>
          </cell>
          <cell r="E86">
            <v>103259828</v>
          </cell>
          <cell r="F86">
            <v>151595000</v>
          </cell>
          <cell r="G86">
            <v>151595000</v>
          </cell>
          <cell r="H86">
            <v>0</v>
          </cell>
          <cell r="I86">
            <v>136037828</v>
          </cell>
        </row>
        <row r="87">
          <cell r="C87" t="str">
            <v>Alat Komunikasi</v>
          </cell>
          <cell r="D87">
            <v>3414000</v>
          </cell>
          <cell r="E87">
            <v>2920000</v>
          </cell>
          <cell r="F87">
            <v>8318000</v>
          </cell>
          <cell r="G87">
            <v>8318000</v>
          </cell>
          <cell r="H87">
            <v>0</v>
          </cell>
          <cell r="I87">
            <v>6334000</v>
          </cell>
        </row>
        <row r="88">
          <cell r="C88" t="str">
            <v>Peralatan Pemancar</v>
          </cell>
          <cell r="D88">
            <v>0</v>
          </cell>
          <cell r="E88">
            <v>0</v>
          </cell>
          <cell r="F88">
            <v>0</v>
          </cell>
          <cell r="G88">
            <v>0</v>
          </cell>
          <cell r="H88">
            <v>0</v>
          </cell>
          <cell r="I88">
            <v>0</v>
          </cell>
        </row>
        <row r="89">
          <cell r="C89" t="str">
            <v>Alat Kedokteran</v>
          </cell>
          <cell r="D89">
            <v>0</v>
          </cell>
          <cell r="E89">
            <v>0</v>
          </cell>
          <cell r="F89">
            <v>0</v>
          </cell>
          <cell r="G89">
            <v>0</v>
          </cell>
          <cell r="H89">
            <v>0</v>
          </cell>
          <cell r="I89">
            <v>0</v>
          </cell>
        </row>
        <row r="90">
          <cell r="C90" t="str">
            <v>Alat Kesehatan</v>
          </cell>
          <cell r="D90">
            <v>0</v>
          </cell>
          <cell r="E90">
            <v>0</v>
          </cell>
          <cell r="F90">
            <v>0</v>
          </cell>
          <cell r="G90">
            <v>0</v>
          </cell>
          <cell r="H90">
            <v>0</v>
          </cell>
          <cell r="I90">
            <v>0</v>
          </cell>
        </row>
        <row r="91">
          <cell r="C91" t="str">
            <v>Unit-Unit Laboratorium</v>
          </cell>
          <cell r="D91">
            <v>0</v>
          </cell>
          <cell r="E91">
            <v>0</v>
          </cell>
          <cell r="F91">
            <v>0</v>
          </cell>
          <cell r="G91">
            <v>0</v>
          </cell>
          <cell r="H91">
            <v>0</v>
          </cell>
          <cell r="I91">
            <v>0</v>
          </cell>
        </row>
        <row r="92">
          <cell r="C92" t="str">
            <v>Alat Peraga/Praktek Sekolah</v>
          </cell>
          <cell r="D92">
            <v>0</v>
          </cell>
          <cell r="E92">
            <v>0</v>
          </cell>
          <cell r="F92">
            <v>0</v>
          </cell>
          <cell r="G92">
            <v>0</v>
          </cell>
          <cell r="H92">
            <v>0</v>
          </cell>
          <cell r="I92">
            <v>0</v>
          </cell>
        </row>
        <row r="93">
          <cell r="C93" t="str">
            <v>Unit Alat Laboratorium Kimia Nuklir</v>
          </cell>
          <cell r="I93">
            <v>0</v>
          </cell>
        </row>
        <row r="94">
          <cell r="C94" t="str">
            <v>Alat Laboratorium Fisila Nuklir / Elektronila</v>
          </cell>
          <cell r="D94">
            <v>0</v>
          </cell>
          <cell r="E94">
            <v>0</v>
          </cell>
          <cell r="F94">
            <v>0</v>
          </cell>
          <cell r="G94">
            <v>0</v>
          </cell>
          <cell r="H94">
            <v>0</v>
          </cell>
          <cell r="I94">
            <v>0</v>
          </cell>
        </row>
        <row r="95">
          <cell r="C95" t="str">
            <v>Alat Proteksi Radiasi / Proteksi Lingkungan</v>
          </cell>
          <cell r="D95">
            <v>0</v>
          </cell>
          <cell r="E95">
            <v>0</v>
          </cell>
          <cell r="F95">
            <v>0</v>
          </cell>
          <cell r="G95">
            <v>0</v>
          </cell>
          <cell r="H95">
            <v>0</v>
          </cell>
          <cell r="I95">
            <v>0</v>
          </cell>
        </row>
        <row r="96">
          <cell r="C96" t="str">
            <v>Radiation Aplication and Non Destructive Testing Laboratory (BATAM)</v>
          </cell>
          <cell r="I96">
            <v>0</v>
          </cell>
        </row>
        <row r="97">
          <cell r="C97" t="str">
            <v>Alat Laboratorium Lingkungan Hidup</v>
          </cell>
          <cell r="D97">
            <v>0</v>
          </cell>
          <cell r="E97">
            <v>0</v>
          </cell>
          <cell r="F97">
            <v>0</v>
          </cell>
          <cell r="G97">
            <v>0</v>
          </cell>
          <cell r="H97">
            <v>0</v>
          </cell>
          <cell r="I97">
            <v>0</v>
          </cell>
        </row>
        <row r="98">
          <cell r="C98" t="str">
            <v>Alat Keamanan dan Perlindungan</v>
          </cell>
          <cell r="D98">
            <v>0</v>
          </cell>
          <cell r="E98">
            <v>0</v>
          </cell>
          <cell r="F98">
            <v>19753371</v>
          </cell>
          <cell r="G98">
            <v>50021000</v>
          </cell>
          <cell r="H98">
            <v>0</v>
          </cell>
          <cell r="I98">
            <v>30267629</v>
          </cell>
        </row>
        <row r="99">
          <cell r="D99">
            <v>14120832896</v>
          </cell>
          <cell r="E99">
            <v>742694100</v>
          </cell>
          <cell r="F99">
            <v>959802871</v>
          </cell>
          <cell r="G99">
            <v>12367266028</v>
          </cell>
          <cell r="H99">
            <v>306304000</v>
          </cell>
          <cell r="I99">
            <v>25964686153</v>
          </cell>
        </row>
        <row r="100">
          <cell r="C100" t="str">
            <v>Bangunan Gedung Tempat Kerja</v>
          </cell>
          <cell r="D100">
            <v>13856451050</v>
          </cell>
          <cell r="E100">
            <v>742694100</v>
          </cell>
          <cell r="F100">
            <v>959802871</v>
          </cell>
          <cell r="G100">
            <v>12367266028</v>
          </cell>
          <cell r="H100">
            <v>306304000</v>
          </cell>
          <cell r="I100">
            <v>25700304307</v>
          </cell>
        </row>
        <row r="101">
          <cell r="C101" t="str">
            <v>Bangunan Gedung Tempat Tinggal</v>
          </cell>
          <cell r="D101">
            <v>149731470</v>
          </cell>
          <cell r="E101">
            <v>0</v>
          </cell>
          <cell r="F101">
            <v>0</v>
          </cell>
          <cell r="G101">
            <v>0</v>
          </cell>
          <cell r="H101">
            <v>0</v>
          </cell>
          <cell r="I101">
            <v>149731470</v>
          </cell>
        </row>
        <row r="102">
          <cell r="C102" t="str">
            <v>Bangunan Menara</v>
          </cell>
          <cell r="D102">
            <v>0</v>
          </cell>
          <cell r="E102">
            <v>0</v>
          </cell>
          <cell r="F102">
            <v>0</v>
          </cell>
          <cell r="G102">
            <v>0</v>
          </cell>
          <cell r="H102">
            <v>0</v>
          </cell>
          <cell r="I102">
            <v>0</v>
          </cell>
        </row>
        <row r="103">
          <cell r="C103" t="str">
            <v>Bangunan Bersejarah</v>
          </cell>
          <cell r="D103">
            <v>0</v>
          </cell>
          <cell r="E103">
            <v>0</v>
          </cell>
          <cell r="F103">
            <v>0</v>
          </cell>
          <cell r="G103">
            <v>0</v>
          </cell>
          <cell r="H103">
            <v>0</v>
          </cell>
          <cell r="I103">
            <v>0</v>
          </cell>
        </row>
        <row r="104">
          <cell r="C104" t="str">
            <v>Tugu Peringatan</v>
          </cell>
          <cell r="D104">
            <v>114650376</v>
          </cell>
          <cell r="E104">
            <v>0</v>
          </cell>
          <cell r="F104">
            <v>0</v>
          </cell>
          <cell r="G104">
            <v>0</v>
          </cell>
          <cell r="H104">
            <v>0</v>
          </cell>
          <cell r="I104">
            <v>114650376</v>
          </cell>
        </row>
        <row r="105">
          <cell r="C105" t="str">
            <v>Candi</v>
          </cell>
          <cell r="D105">
            <v>0</v>
          </cell>
          <cell r="E105">
            <v>0</v>
          </cell>
          <cell r="F105">
            <v>0</v>
          </cell>
          <cell r="G105">
            <v>0</v>
          </cell>
          <cell r="H105">
            <v>0</v>
          </cell>
          <cell r="I105">
            <v>0</v>
          </cell>
        </row>
        <row r="106">
          <cell r="C106" t="str">
            <v>Monumen/Bangunan Bersejarah</v>
          </cell>
          <cell r="D106">
            <v>0</v>
          </cell>
          <cell r="E106">
            <v>0</v>
          </cell>
          <cell r="F106">
            <v>0</v>
          </cell>
          <cell r="G106">
            <v>0</v>
          </cell>
          <cell r="H106">
            <v>0</v>
          </cell>
          <cell r="I106">
            <v>0</v>
          </cell>
        </row>
        <row r="107">
          <cell r="C107" t="str">
            <v>Tugu Titik Kontrol/Pasti</v>
          </cell>
          <cell r="D107">
            <v>0</v>
          </cell>
          <cell r="E107">
            <v>0</v>
          </cell>
          <cell r="F107">
            <v>0</v>
          </cell>
          <cell r="G107">
            <v>0</v>
          </cell>
          <cell r="H107">
            <v>0</v>
          </cell>
          <cell r="I107">
            <v>0</v>
          </cell>
        </row>
        <row r="108">
          <cell r="C108" t="str">
            <v>Rambu-Rambu</v>
          </cell>
          <cell r="D108">
            <v>0</v>
          </cell>
          <cell r="E108">
            <v>0</v>
          </cell>
          <cell r="F108">
            <v>0</v>
          </cell>
          <cell r="G108">
            <v>0</v>
          </cell>
          <cell r="H108">
            <v>0</v>
          </cell>
          <cell r="I108">
            <v>0</v>
          </cell>
        </row>
        <row r="109">
          <cell r="D109">
            <v>2752875191</v>
          </cell>
          <cell r="E109">
            <v>0</v>
          </cell>
          <cell r="F109">
            <v>0</v>
          </cell>
          <cell r="G109">
            <v>0</v>
          </cell>
          <cell r="H109">
            <v>0</v>
          </cell>
          <cell r="I109">
            <v>2752875191</v>
          </cell>
        </row>
        <row r="110">
          <cell r="C110" t="str">
            <v>Jalan</v>
          </cell>
          <cell r="D110">
            <v>1536268060</v>
          </cell>
          <cell r="E110">
            <v>0</v>
          </cell>
          <cell r="F110">
            <v>0</v>
          </cell>
          <cell r="G110">
            <v>0</v>
          </cell>
          <cell r="H110">
            <v>0</v>
          </cell>
          <cell r="I110">
            <v>1536268060</v>
          </cell>
        </row>
        <row r="111">
          <cell r="C111" t="str">
            <v>Jembatan</v>
          </cell>
          <cell r="D111">
            <v>0</v>
          </cell>
          <cell r="E111">
            <v>0</v>
          </cell>
          <cell r="F111">
            <v>0</v>
          </cell>
          <cell r="G111">
            <v>0</v>
          </cell>
          <cell r="H111">
            <v>0</v>
          </cell>
          <cell r="I111">
            <v>0</v>
          </cell>
        </row>
        <row r="112">
          <cell r="C112" t="str">
            <v>Bangunan Air Irigasi</v>
          </cell>
          <cell r="D112">
            <v>122332953</v>
          </cell>
          <cell r="E112">
            <v>0</v>
          </cell>
          <cell r="F112">
            <v>0</v>
          </cell>
          <cell r="G112">
            <v>0</v>
          </cell>
          <cell r="H112">
            <v>0</v>
          </cell>
          <cell r="I112">
            <v>122332953</v>
          </cell>
        </row>
        <row r="113">
          <cell r="C113" t="str">
            <v>Bangunan Pengaman Sungai dan Penanggulangan Bencana Alam</v>
          </cell>
          <cell r="D113">
            <v>0</v>
          </cell>
          <cell r="E113">
            <v>0</v>
          </cell>
          <cell r="F113">
            <v>0</v>
          </cell>
          <cell r="G113">
            <v>0</v>
          </cell>
          <cell r="H113">
            <v>0</v>
          </cell>
          <cell r="I113">
            <v>0</v>
          </cell>
        </row>
        <row r="114">
          <cell r="C114" t="str">
            <v>Bangunan Pengembangan Sumber Air dan Air Tanah</v>
          </cell>
          <cell r="D114">
            <v>93750000</v>
          </cell>
          <cell r="E114">
            <v>0</v>
          </cell>
          <cell r="F114">
            <v>0</v>
          </cell>
          <cell r="G114">
            <v>0</v>
          </cell>
          <cell r="H114">
            <v>0</v>
          </cell>
          <cell r="I114">
            <v>93750000</v>
          </cell>
        </row>
        <row r="115">
          <cell r="C115" t="str">
            <v>Bangunan Air Bersih/Baku</v>
          </cell>
          <cell r="D115">
            <v>467853678</v>
          </cell>
          <cell r="E115">
            <v>0</v>
          </cell>
          <cell r="F115">
            <v>0</v>
          </cell>
          <cell r="G115">
            <v>0</v>
          </cell>
          <cell r="H115">
            <v>0</v>
          </cell>
          <cell r="I115">
            <v>467853678</v>
          </cell>
        </row>
        <row r="116">
          <cell r="C116" t="str">
            <v>Bangunan Air Kotor</v>
          </cell>
          <cell r="D116">
            <v>0</v>
          </cell>
          <cell r="E116">
            <v>0</v>
          </cell>
          <cell r="F116">
            <v>0</v>
          </cell>
          <cell r="G116">
            <v>0</v>
          </cell>
          <cell r="H116">
            <v>0</v>
          </cell>
          <cell r="I116">
            <v>0</v>
          </cell>
        </row>
        <row r="117">
          <cell r="C117" t="str">
            <v>Bangunan Air</v>
          </cell>
          <cell r="D117">
            <v>0</v>
          </cell>
          <cell r="E117">
            <v>0</v>
          </cell>
          <cell r="F117">
            <v>0</v>
          </cell>
          <cell r="G117">
            <v>0</v>
          </cell>
          <cell r="H117">
            <v>0</v>
          </cell>
          <cell r="I117">
            <v>0</v>
          </cell>
        </row>
        <row r="118">
          <cell r="C118" t="str">
            <v>Instalasi Air Minum Bersih</v>
          </cell>
          <cell r="D118">
            <v>487990500</v>
          </cell>
          <cell r="E118">
            <v>0</v>
          </cell>
          <cell r="F118">
            <v>0</v>
          </cell>
          <cell r="G118">
            <v>0</v>
          </cell>
          <cell r="H118">
            <v>0</v>
          </cell>
          <cell r="I118">
            <v>487990500</v>
          </cell>
        </row>
        <row r="119">
          <cell r="C119" t="str">
            <v>Instalasi Air Kotor</v>
          </cell>
          <cell r="D119">
            <v>0</v>
          </cell>
          <cell r="E119">
            <v>0</v>
          </cell>
          <cell r="F119">
            <v>0</v>
          </cell>
          <cell r="G119">
            <v>0</v>
          </cell>
          <cell r="H119">
            <v>0</v>
          </cell>
          <cell r="I119">
            <v>0</v>
          </cell>
        </row>
        <row r="121">
          <cell r="C121" t="str">
            <v>Aset Tetap Lainnya</v>
          </cell>
          <cell r="D121">
            <v>516785240</v>
          </cell>
          <cell r="E121">
            <v>79451748</v>
          </cell>
          <cell r="F121">
            <v>0</v>
          </cell>
          <cell r="G121">
            <v>0</v>
          </cell>
          <cell r="H121">
            <v>0</v>
          </cell>
          <cell r="I121">
            <v>596236988</v>
          </cell>
        </row>
        <row r="122">
          <cell r="C122" t="str">
            <v>Buku</v>
          </cell>
          <cell r="D122">
            <v>25000000</v>
          </cell>
          <cell r="E122">
            <v>0</v>
          </cell>
          <cell r="F122">
            <v>0</v>
          </cell>
          <cell r="G122">
            <v>0</v>
          </cell>
          <cell r="H122">
            <v>0</v>
          </cell>
        </row>
        <row r="123">
          <cell r="C123" t="str">
            <v>Terbitan</v>
          </cell>
          <cell r="D123">
            <v>0</v>
          </cell>
          <cell r="E123">
            <v>0</v>
          </cell>
          <cell r="F123">
            <v>0</v>
          </cell>
          <cell r="G123">
            <v>0</v>
          </cell>
          <cell r="H123">
            <v>0</v>
          </cell>
        </row>
        <row r="124">
          <cell r="C124" t="str">
            <v>Barang-Barang Perpustakaan</v>
          </cell>
          <cell r="D124">
            <v>228136000</v>
          </cell>
          <cell r="E124">
            <v>0</v>
          </cell>
          <cell r="F124">
            <v>0</v>
          </cell>
          <cell r="G124">
            <v>0</v>
          </cell>
          <cell r="H124">
            <v>0</v>
          </cell>
        </row>
        <row r="125">
          <cell r="C125" t="str">
            <v>Barang Bercorak Kebudayaan</v>
          </cell>
          <cell r="D125">
            <v>164714240</v>
          </cell>
          <cell r="E125">
            <v>12406748</v>
          </cell>
          <cell r="F125">
            <v>0</v>
          </cell>
          <cell r="G125">
            <v>0</v>
          </cell>
          <cell r="H125">
            <v>0</v>
          </cell>
        </row>
        <row r="126">
          <cell r="C126" t="str">
            <v>Alat Olah Raga Lainnya</v>
          </cell>
          <cell r="D126">
            <v>0</v>
          </cell>
          <cell r="E126">
            <v>67045000</v>
          </cell>
          <cell r="F126">
            <v>0</v>
          </cell>
          <cell r="G126">
            <v>0</v>
          </cell>
          <cell r="H126">
            <v>0</v>
          </cell>
        </row>
        <row r="127">
          <cell r="C127" t="str">
            <v>Hewan</v>
          </cell>
          <cell r="D127">
            <v>0</v>
          </cell>
          <cell r="E127">
            <v>0</v>
          </cell>
          <cell r="F127">
            <v>0</v>
          </cell>
          <cell r="G127">
            <v>0</v>
          </cell>
          <cell r="H127">
            <v>0</v>
          </cell>
        </row>
        <row r="128">
          <cell r="C128" t="str">
            <v>Tanaman</v>
          </cell>
          <cell r="D128">
            <v>0</v>
          </cell>
          <cell r="E128">
            <v>0</v>
          </cell>
          <cell r="F128">
            <v>0</v>
          </cell>
          <cell r="G128">
            <v>0</v>
          </cell>
          <cell r="H128">
            <v>0</v>
          </cell>
        </row>
        <row r="129">
          <cell r="C129" t="str">
            <v>Aset Tetap Renovasi</v>
          </cell>
          <cell r="D129">
            <v>98935000</v>
          </cell>
          <cell r="E129">
            <v>0</v>
          </cell>
          <cell r="F129">
            <v>0</v>
          </cell>
          <cell r="G129">
            <v>0</v>
          </cell>
          <cell r="H129">
            <v>0</v>
          </cell>
        </row>
        <row r="130">
          <cell r="C130" t="str">
            <v>Konstruksi Dalam Pengerjaan</v>
          </cell>
          <cell r="D130">
            <v>500484771</v>
          </cell>
          <cell r="E130">
            <v>0</v>
          </cell>
          <cell r="F130">
            <v>0</v>
          </cell>
          <cell r="G130">
            <v>0</v>
          </cell>
          <cell r="H130">
            <v>0</v>
          </cell>
        </row>
        <row r="132">
          <cell r="D132">
            <v>-3120268682</v>
          </cell>
          <cell r="E132">
            <v>0</v>
          </cell>
          <cell r="F132">
            <v>0</v>
          </cell>
          <cell r="G132">
            <v>120474987</v>
          </cell>
          <cell r="H132">
            <v>634574744</v>
          </cell>
          <cell r="I132">
            <v>-3634368439</v>
          </cell>
        </row>
        <row r="133">
          <cell r="I133">
            <v>-1265723854</v>
          </cell>
        </row>
        <row r="134">
          <cell r="I134">
            <v>-1567230693</v>
          </cell>
        </row>
        <row r="135">
          <cell r="I135">
            <v>-801413892</v>
          </cell>
        </row>
        <row r="136">
          <cell r="I136">
            <v>0</v>
          </cell>
        </row>
        <row r="139">
          <cell r="D139">
            <v>29277765.399999999</v>
          </cell>
          <cell r="E139">
            <v>0</v>
          </cell>
          <cell r="F139">
            <v>0</v>
          </cell>
          <cell r="G139">
            <v>0</v>
          </cell>
          <cell r="H139">
            <v>442084.9</v>
          </cell>
          <cell r="J139">
            <v>-1.5099680387492911</v>
          </cell>
          <cell r="K139">
            <v>-442084.89999999851</v>
          </cell>
        </row>
        <row r="147">
          <cell r="D147">
            <v>2652509.4</v>
          </cell>
          <cell r="E147">
            <v>0</v>
          </cell>
          <cell r="F147">
            <v>0</v>
          </cell>
          <cell r="G147">
            <v>0</v>
          </cell>
          <cell r="H147">
            <v>442084.9</v>
          </cell>
        </row>
        <row r="148">
          <cell r="C148" t="str">
            <v>Goodwill</v>
          </cell>
          <cell r="I148">
            <v>0</v>
          </cell>
        </row>
        <row r="149">
          <cell r="C149" t="str">
            <v>Lisensi dan frenchise</v>
          </cell>
          <cell r="I149">
            <v>0</v>
          </cell>
        </row>
        <row r="150">
          <cell r="C150" t="str">
            <v>Hak Cipta</v>
          </cell>
          <cell r="I150">
            <v>0</v>
          </cell>
        </row>
        <row r="151">
          <cell r="C151" t="str">
            <v>Paten</v>
          </cell>
          <cell r="I151">
            <v>0</v>
          </cell>
        </row>
        <row r="152">
          <cell r="C152" t="str">
            <v>Aset Tidak Berwujud Lainnya</v>
          </cell>
          <cell r="D152">
            <v>4420849</v>
          </cell>
          <cell r="E152">
            <v>0</v>
          </cell>
          <cell r="F152">
            <v>0</v>
          </cell>
          <cell r="G152">
            <v>0</v>
          </cell>
          <cell r="H152">
            <v>0</v>
          </cell>
          <cell r="I152">
            <v>4420849</v>
          </cell>
        </row>
        <row r="153">
          <cell r="C153" t="str">
            <v>Akumulasi Amortisasi Aset Tidak Berwujud</v>
          </cell>
          <cell r="D153">
            <v>-1768339.6</v>
          </cell>
          <cell r="E153">
            <v>0</v>
          </cell>
          <cell r="F153">
            <v>0</v>
          </cell>
          <cell r="G153">
            <v>0</v>
          </cell>
          <cell r="H153">
            <v>442084.9</v>
          </cell>
          <cell r="I153">
            <v>-2210424.5</v>
          </cell>
        </row>
        <row r="154">
          <cell r="D154">
            <v>26625256</v>
          </cell>
          <cell r="E154">
            <v>0</v>
          </cell>
          <cell r="F154">
            <v>0</v>
          </cell>
          <cell r="G154">
            <v>0</v>
          </cell>
          <cell r="H154">
            <v>0</v>
          </cell>
        </row>
        <row r="156">
          <cell r="D156">
            <v>3026308</v>
          </cell>
          <cell r="I156">
            <v>9147040</v>
          </cell>
          <cell r="J156">
            <v>202.25079535856892</v>
          </cell>
          <cell r="K156">
            <v>6120732</v>
          </cell>
        </row>
        <row r="157">
          <cell r="D157">
            <v>3026308</v>
          </cell>
          <cell r="I157">
            <v>9147040</v>
          </cell>
          <cell r="J157">
            <v>202.25079535856892</v>
          </cell>
          <cell r="K157">
            <v>6120732</v>
          </cell>
        </row>
        <row r="158">
          <cell r="I158">
            <v>0</v>
          </cell>
        </row>
        <row r="159">
          <cell r="C159" t="str">
            <v>Utang Taspen</v>
          </cell>
          <cell r="D159">
            <v>0</v>
          </cell>
          <cell r="E159">
            <v>0</v>
          </cell>
          <cell r="F159">
            <v>0</v>
          </cell>
          <cell r="G159">
            <v>0</v>
          </cell>
          <cell r="H159">
            <v>0</v>
          </cell>
        </row>
        <row r="160">
          <cell r="C160" t="str">
            <v>Utang Iuran Jaminan Kesehatan</v>
          </cell>
          <cell r="D160">
            <v>0</v>
          </cell>
          <cell r="E160">
            <v>0</v>
          </cell>
          <cell r="F160">
            <v>0</v>
          </cell>
          <cell r="G160">
            <v>0</v>
          </cell>
          <cell r="H160">
            <v>0</v>
          </cell>
        </row>
        <row r="161">
          <cell r="C161" t="str">
            <v>Utang PPh Pusat</v>
          </cell>
          <cell r="D161">
            <v>0</v>
          </cell>
          <cell r="E161">
            <v>0</v>
          </cell>
          <cell r="F161">
            <v>0</v>
          </cell>
          <cell r="G161">
            <v>0</v>
          </cell>
          <cell r="H161">
            <v>0</v>
          </cell>
        </row>
        <row r="162">
          <cell r="C162" t="str">
            <v>Utang  PPN Pusat</v>
          </cell>
          <cell r="D162">
            <v>0</v>
          </cell>
          <cell r="E162">
            <v>0</v>
          </cell>
          <cell r="F162">
            <v>0</v>
          </cell>
          <cell r="G162">
            <v>0</v>
          </cell>
          <cell r="H162">
            <v>0</v>
          </cell>
        </row>
        <row r="163">
          <cell r="C163" t="str">
            <v>Utang Taperum</v>
          </cell>
          <cell r="D163">
            <v>0</v>
          </cell>
          <cell r="E163">
            <v>0</v>
          </cell>
          <cell r="F163">
            <v>0</v>
          </cell>
          <cell r="G163">
            <v>0</v>
          </cell>
          <cell r="H163">
            <v>0</v>
          </cell>
        </row>
        <row r="164">
          <cell r="C164" t="str">
            <v>Utang Iuran Wajib Pegawai</v>
          </cell>
          <cell r="D164">
            <v>0</v>
          </cell>
          <cell r="E164">
            <v>0</v>
          </cell>
          <cell r="F164">
            <v>0</v>
          </cell>
          <cell r="G164">
            <v>0</v>
          </cell>
          <cell r="H164">
            <v>0</v>
          </cell>
        </row>
        <row r="165">
          <cell r="C165" t="str">
            <v>Utang Perhitungan Pihak Ketiga Lainnya</v>
          </cell>
          <cell r="D165">
            <v>0</v>
          </cell>
          <cell r="E165">
            <v>0</v>
          </cell>
          <cell r="F165">
            <v>0</v>
          </cell>
          <cell r="G165">
            <v>0</v>
          </cell>
          <cell r="H165">
            <v>0</v>
          </cell>
        </row>
        <row r="166">
          <cell r="C166" t="str">
            <v>Utang Jaminan</v>
          </cell>
          <cell r="D166">
            <v>0</v>
          </cell>
          <cell r="E166">
            <v>0</v>
          </cell>
          <cell r="F166">
            <v>0</v>
          </cell>
          <cell r="G166">
            <v>0</v>
          </cell>
          <cell r="H166">
            <v>0</v>
          </cell>
        </row>
        <row r="167">
          <cell r="I167">
            <v>0</v>
          </cell>
        </row>
        <row r="168">
          <cell r="C168" t="str">
            <v>Utang Bunga kepada Pemerintah</v>
          </cell>
          <cell r="D168">
            <v>0</v>
          </cell>
          <cell r="E168">
            <v>0</v>
          </cell>
          <cell r="F168">
            <v>0</v>
          </cell>
          <cell r="G168">
            <v>0</v>
          </cell>
          <cell r="H168">
            <v>0</v>
          </cell>
        </row>
        <row r="169">
          <cell r="C169" t="str">
            <v>Utang Bunga kepada Pemerintah Daerah Lainnya</v>
          </cell>
          <cell r="D169">
            <v>0</v>
          </cell>
          <cell r="E169">
            <v>0</v>
          </cell>
          <cell r="F169">
            <v>0</v>
          </cell>
          <cell r="G169">
            <v>0</v>
          </cell>
          <cell r="H169">
            <v>0</v>
          </cell>
        </row>
        <row r="170">
          <cell r="C170" t="str">
            <v>Utang Bunga Kepada BUMN/BUMD</v>
          </cell>
          <cell r="D170">
            <v>0</v>
          </cell>
          <cell r="E170">
            <v>0</v>
          </cell>
          <cell r="F170">
            <v>0</v>
          </cell>
          <cell r="G170">
            <v>0</v>
          </cell>
          <cell r="H170">
            <v>0</v>
          </cell>
        </row>
        <row r="171">
          <cell r="C171" t="str">
            <v>Utang Bunga kepada Bank/Lembaga Keuangan Bukan Bank</v>
          </cell>
          <cell r="D171">
            <v>0</v>
          </cell>
          <cell r="E171">
            <v>0</v>
          </cell>
          <cell r="F171">
            <v>0</v>
          </cell>
          <cell r="G171">
            <v>0</v>
          </cell>
          <cell r="H171">
            <v>0</v>
          </cell>
        </row>
        <row r="172">
          <cell r="C172" t="str">
            <v>Utang Bunga Dalam Negeri Lainnya</v>
          </cell>
          <cell r="D172">
            <v>0</v>
          </cell>
          <cell r="E172">
            <v>0</v>
          </cell>
          <cell r="F172">
            <v>0</v>
          </cell>
          <cell r="G172">
            <v>0</v>
          </cell>
          <cell r="H172">
            <v>0</v>
          </cell>
        </row>
        <row r="173">
          <cell r="C173" t="str">
            <v>Utang Bunga Luar Negeri</v>
          </cell>
          <cell r="D173">
            <v>0</v>
          </cell>
          <cell r="E173">
            <v>0</v>
          </cell>
          <cell r="F173">
            <v>0</v>
          </cell>
          <cell r="G173">
            <v>0</v>
          </cell>
          <cell r="H173">
            <v>0</v>
          </cell>
        </row>
        <row r="174">
          <cell r="I174">
            <v>0</v>
          </cell>
        </row>
        <row r="175">
          <cell r="C175" t="str">
            <v>Bagian Lancar Utang Dalam Negeri Sektor Perbankan</v>
          </cell>
          <cell r="D175">
            <v>0</v>
          </cell>
          <cell r="E175">
            <v>0</v>
          </cell>
          <cell r="F175">
            <v>0</v>
          </cell>
          <cell r="G175">
            <v>0</v>
          </cell>
          <cell r="H175">
            <v>0</v>
          </cell>
        </row>
        <row r="176">
          <cell r="C176" t="str">
            <v>Bagian Lancar Utang dari Lembaga Keuangan Bukan Bank</v>
          </cell>
          <cell r="D176">
            <v>0</v>
          </cell>
          <cell r="E176">
            <v>0</v>
          </cell>
          <cell r="F176">
            <v>0</v>
          </cell>
          <cell r="G176">
            <v>0</v>
          </cell>
          <cell r="H176">
            <v>0</v>
          </cell>
        </row>
        <row r="177">
          <cell r="C177" t="str">
            <v>Bagian Lancar Utang Pemerintah Pusat</v>
          </cell>
          <cell r="D177">
            <v>0</v>
          </cell>
          <cell r="E177">
            <v>0</v>
          </cell>
          <cell r="F177">
            <v>0</v>
          </cell>
          <cell r="G177">
            <v>0</v>
          </cell>
          <cell r="H177">
            <v>0</v>
          </cell>
        </row>
        <row r="178">
          <cell r="C178" t="str">
            <v>Bagian Lancar Utang Pemerintah Provinsi Lainnya</v>
          </cell>
          <cell r="D178">
            <v>0</v>
          </cell>
          <cell r="E178">
            <v>0</v>
          </cell>
          <cell r="F178">
            <v>0</v>
          </cell>
          <cell r="G178">
            <v>0</v>
          </cell>
          <cell r="H178">
            <v>0</v>
          </cell>
        </row>
        <row r="179">
          <cell r="C179" t="str">
            <v>Bagian Lancar Utang Pemerintah Kabupaten/Kota</v>
          </cell>
          <cell r="D179">
            <v>0</v>
          </cell>
          <cell r="E179">
            <v>0</v>
          </cell>
          <cell r="F179">
            <v>0</v>
          </cell>
          <cell r="G179">
            <v>0</v>
          </cell>
          <cell r="H179">
            <v>0</v>
          </cell>
        </row>
        <row r="180">
          <cell r="I180">
            <v>256000</v>
          </cell>
        </row>
        <row r="181">
          <cell r="C181" t="str">
            <v>Setoran Kelebihan Pembayaran Dari Pihak III</v>
          </cell>
          <cell r="D181">
            <v>0</v>
          </cell>
          <cell r="E181">
            <v>0</v>
          </cell>
          <cell r="F181">
            <v>0</v>
          </cell>
          <cell r="G181">
            <v>0</v>
          </cell>
          <cell r="H181">
            <v>0</v>
          </cell>
        </row>
        <row r="182">
          <cell r="C182" t="str">
            <v>Uang Muka Penjualan Produk Pemda Dari Pihak III</v>
          </cell>
          <cell r="D182">
            <v>0</v>
          </cell>
          <cell r="E182">
            <v>0</v>
          </cell>
          <cell r="F182">
            <v>0</v>
          </cell>
          <cell r="G182">
            <v>0</v>
          </cell>
          <cell r="H182">
            <v>0</v>
          </cell>
        </row>
        <row r="183">
          <cell r="C183" t="str">
            <v>Uang Muka Lelang Penjualan Aset Daerah</v>
          </cell>
          <cell r="D183">
            <v>0</v>
          </cell>
          <cell r="E183">
            <v>0</v>
          </cell>
          <cell r="F183">
            <v>0</v>
          </cell>
          <cell r="G183">
            <v>0</v>
          </cell>
          <cell r="H183">
            <v>0</v>
          </cell>
        </row>
        <row r="184">
          <cell r="C184" t="str">
            <v>Pendapatan Diterima Dimuka lainnya</v>
          </cell>
          <cell r="D184">
            <v>256000</v>
          </cell>
        </row>
        <row r="185">
          <cell r="I185">
            <v>8891040</v>
          </cell>
        </row>
        <row r="186">
          <cell r="C186" t="str">
            <v>Utang Belanja Pegawai</v>
          </cell>
          <cell r="D186">
            <v>0</v>
          </cell>
          <cell r="E186">
            <v>0</v>
          </cell>
          <cell r="F186">
            <v>0</v>
          </cell>
          <cell r="G186">
            <v>0</v>
          </cell>
          <cell r="H186">
            <v>0</v>
          </cell>
        </row>
        <row r="187">
          <cell r="C187" t="str">
            <v>Utang Belanja Barang dan Jasa</v>
          </cell>
          <cell r="D187">
            <v>2770308</v>
          </cell>
          <cell r="E187">
            <v>2770308</v>
          </cell>
          <cell r="F187">
            <v>8891040</v>
          </cell>
          <cell r="G187">
            <v>0</v>
          </cell>
          <cell r="H187">
            <v>0</v>
          </cell>
        </row>
        <row r="188">
          <cell r="C188" t="str">
            <v>Utang Belanja Modal</v>
          </cell>
          <cell r="D188">
            <v>0</v>
          </cell>
          <cell r="E188">
            <v>0</v>
          </cell>
          <cell r="F188">
            <v>0</v>
          </cell>
          <cell r="G188">
            <v>0</v>
          </cell>
          <cell r="H188">
            <v>0</v>
          </cell>
        </row>
        <row r="189">
          <cell r="C189" t="str">
            <v>Utang Belanja Subsidi</v>
          </cell>
          <cell r="D189">
            <v>0</v>
          </cell>
          <cell r="E189">
            <v>0</v>
          </cell>
          <cell r="F189">
            <v>0</v>
          </cell>
          <cell r="G189">
            <v>0</v>
          </cell>
          <cell r="H189">
            <v>0</v>
          </cell>
        </row>
        <row r="190">
          <cell r="C190" t="str">
            <v>Utang Transfer Pemerintah Daerah Lainnya</v>
          </cell>
          <cell r="D190">
            <v>0</v>
          </cell>
          <cell r="E190">
            <v>0</v>
          </cell>
          <cell r="F190">
            <v>0</v>
          </cell>
          <cell r="G190">
            <v>0</v>
          </cell>
          <cell r="H190">
            <v>0</v>
          </cell>
        </row>
        <row r="191">
          <cell r="C191" t="str">
            <v>Utang Belanja Lain-lain</v>
          </cell>
          <cell r="D191">
            <v>0</v>
          </cell>
          <cell r="E191">
            <v>0</v>
          </cell>
          <cell r="F191">
            <v>0</v>
          </cell>
          <cell r="G191">
            <v>0</v>
          </cell>
          <cell r="H191">
            <v>0</v>
          </cell>
        </row>
        <row r="192">
          <cell r="I192">
            <v>0</v>
          </cell>
        </row>
        <row r="193">
          <cell r="C193" t="str">
            <v>Utang Kelebihan Pembayaran PAD</v>
          </cell>
          <cell r="D193">
            <v>0</v>
          </cell>
          <cell r="E193">
            <v>0</v>
          </cell>
          <cell r="F193">
            <v>0</v>
          </cell>
          <cell r="G193">
            <v>0</v>
          </cell>
          <cell r="H193">
            <v>0</v>
          </cell>
        </row>
        <row r="194">
          <cell r="C194" t="str">
            <v>Utang Kelebihan Pembayaran Transfer</v>
          </cell>
          <cell r="D194">
            <v>0</v>
          </cell>
          <cell r="E194">
            <v>0</v>
          </cell>
          <cell r="F194">
            <v>0</v>
          </cell>
          <cell r="G194">
            <v>0</v>
          </cell>
          <cell r="H194">
            <v>0</v>
          </cell>
        </row>
        <row r="195">
          <cell r="C195" t="str">
            <v>Utang Kelebihan Pembayaran Lain-Lain Pendapatan yang Sah</v>
          </cell>
          <cell r="D195">
            <v>0</v>
          </cell>
          <cell r="E195">
            <v>0</v>
          </cell>
          <cell r="F195">
            <v>0</v>
          </cell>
          <cell r="G195">
            <v>0</v>
          </cell>
          <cell r="H195">
            <v>0</v>
          </cell>
        </row>
        <row r="196">
          <cell r="C196" t="str">
            <v>Utang Transfer</v>
          </cell>
          <cell r="D196">
            <v>0</v>
          </cell>
          <cell r="E196">
            <v>0</v>
          </cell>
          <cell r="F196">
            <v>0</v>
          </cell>
          <cell r="G196">
            <v>0</v>
          </cell>
          <cell r="H196">
            <v>0</v>
          </cell>
        </row>
        <row r="197">
          <cell r="C197" t="str">
            <v>Utang Jangka Pendek Lainnya</v>
          </cell>
          <cell r="D197">
            <v>0</v>
          </cell>
          <cell r="E197">
            <v>0</v>
          </cell>
          <cell r="F197">
            <v>0</v>
          </cell>
          <cell r="G197">
            <v>0</v>
          </cell>
          <cell r="H197">
            <v>0</v>
          </cell>
        </row>
        <row r="208">
          <cell r="D208">
            <v>19319046848.299999</v>
          </cell>
          <cell r="I208">
            <v>10989974586.499996</v>
          </cell>
          <cell r="J208">
            <v>-43.113267063343393</v>
          </cell>
          <cell r="K208">
            <v>-8329072261.8000031</v>
          </cell>
        </row>
        <row r="211">
          <cell r="D211">
            <v>19319046848.299999</v>
          </cell>
          <cell r="I211">
            <v>10989974586.499996</v>
          </cell>
        </row>
      </sheetData>
      <sheetData sheetId="4">
        <row r="6">
          <cell r="E6">
            <v>4986810600</v>
          </cell>
          <cell r="F6">
            <v>3742363000</v>
          </cell>
        </row>
        <row r="7">
          <cell r="E7">
            <v>0</v>
          </cell>
          <cell r="F7">
            <v>0</v>
          </cell>
        </row>
        <row r="8">
          <cell r="E8">
            <v>0</v>
          </cell>
        </row>
        <row r="9">
          <cell r="E9">
            <v>0</v>
          </cell>
        </row>
        <row r="10">
          <cell r="E10">
            <v>0</v>
          </cell>
        </row>
        <row r="11">
          <cell r="E11">
            <v>0</v>
          </cell>
        </row>
        <row r="12">
          <cell r="E12">
            <v>0</v>
          </cell>
        </row>
        <row r="13">
          <cell r="E13">
            <v>0</v>
          </cell>
        </row>
        <row r="14">
          <cell r="E14">
            <v>0</v>
          </cell>
        </row>
        <row r="15">
          <cell r="E15">
            <v>0</v>
          </cell>
        </row>
        <row r="16">
          <cell r="E16">
            <v>0</v>
          </cell>
        </row>
        <row r="17">
          <cell r="E17">
            <v>0</v>
          </cell>
        </row>
        <row r="18">
          <cell r="E18">
            <v>4977280800</v>
          </cell>
          <cell r="F18">
            <v>3742363000</v>
          </cell>
        </row>
        <row r="19">
          <cell r="E19">
            <v>0</v>
          </cell>
        </row>
        <row r="20">
          <cell r="E20">
            <v>0</v>
          </cell>
        </row>
        <row r="21">
          <cell r="E21">
            <v>0</v>
          </cell>
        </row>
        <row r="22">
          <cell r="E22">
            <v>0</v>
          </cell>
        </row>
        <row r="23">
          <cell r="E23">
            <v>0</v>
          </cell>
        </row>
        <row r="24">
          <cell r="E24">
            <v>0</v>
          </cell>
        </row>
        <row r="25">
          <cell r="E25">
            <v>0</v>
          </cell>
        </row>
        <row r="26">
          <cell r="E26">
            <v>0</v>
          </cell>
        </row>
        <row r="27">
          <cell r="E27">
            <v>4977280800</v>
          </cell>
        </row>
        <row r="28">
          <cell r="E28">
            <v>0</v>
          </cell>
        </row>
        <row r="29">
          <cell r="E29">
            <v>0</v>
          </cell>
        </row>
        <row r="30">
          <cell r="E30">
            <v>0</v>
          </cell>
        </row>
        <row r="31">
          <cell r="E31">
            <v>0</v>
          </cell>
        </row>
        <row r="32">
          <cell r="E32">
            <v>4977280800</v>
          </cell>
        </row>
        <row r="33">
          <cell r="E33">
            <v>0</v>
          </cell>
        </row>
        <row r="34">
          <cell r="E34">
            <v>0</v>
          </cell>
        </row>
        <row r="35">
          <cell r="E35">
            <v>0</v>
          </cell>
        </row>
        <row r="36">
          <cell r="E36">
            <v>0</v>
          </cell>
        </row>
        <row r="37">
          <cell r="E37">
            <v>0</v>
          </cell>
        </row>
        <row r="38">
          <cell r="E38">
            <v>0</v>
          </cell>
        </row>
        <row r="39">
          <cell r="E39">
            <v>0</v>
          </cell>
          <cell r="F39">
            <v>0</v>
          </cell>
        </row>
        <row r="40">
          <cell r="E40">
            <v>0</v>
          </cell>
        </row>
        <row r="41">
          <cell r="E41">
            <v>0</v>
          </cell>
        </row>
        <row r="42">
          <cell r="E42">
            <v>0</v>
          </cell>
        </row>
        <row r="43">
          <cell r="E43">
            <v>0</v>
          </cell>
        </row>
        <row r="44">
          <cell r="E44">
            <v>0</v>
          </cell>
        </row>
        <row r="45">
          <cell r="E45">
            <v>0</v>
          </cell>
        </row>
        <row r="46">
          <cell r="E46">
            <v>0</v>
          </cell>
        </row>
        <row r="47">
          <cell r="E47">
            <v>0</v>
          </cell>
        </row>
        <row r="48">
          <cell r="E48">
            <v>0</v>
          </cell>
        </row>
        <row r="49">
          <cell r="E49">
            <v>0</v>
          </cell>
        </row>
        <row r="50">
          <cell r="E50">
            <v>9529800</v>
          </cell>
          <cell r="F50">
            <v>0</v>
          </cell>
        </row>
        <row r="51">
          <cell r="E51">
            <v>0</v>
          </cell>
        </row>
        <row r="52">
          <cell r="E52">
            <v>0</v>
          </cell>
        </row>
        <row r="53">
          <cell r="E53">
            <v>0</v>
          </cell>
        </row>
        <row r="54">
          <cell r="E54">
            <v>0</v>
          </cell>
        </row>
        <row r="55">
          <cell r="E55">
            <v>0</v>
          </cell>
        </row>
        <row r="56">
          <cell r="E56">
            <v>0</v>
          </cell>
        </row>
        <row r="57">
          <cell r="E57">
            <v>0</v>
          </cell>
        </row>
        <row r="58">
          <cell r="E58">
            <v>0</v>
          </cell>
        </row>
        <row r="59">
          <cell r="E59">
            <v>0</v>
          </cell>
        </row>
        <row r="60">
          <cell r="E60">
            <v>0</v>
          </cell>
        </row>
        <row r="61">
          <cell r="E61">
            <v>0</v>
          </cell>
        </row>
        <row r="62">
          <cell r="E62">
            <v>0</v>
          </cell>
        </row>
        <row r="63">
          <cell r="E63">
            <v>0</v>
          </cell>
        </row>
        <row r="64">
          <cell r="E64">
            <v>0</v>
          </cell>
        </row>
        <row r="65">
          <cell r="E65">
            <v>0</v>
          </cell>
        </row>
        <row r="66">
          <cell r="E66">
            <v>0</v>
          </cell>
        </row>
        <row r="67">
          <cell r="E67">
            <v>0</v>
          </cell>
        </row>
        <row r="68">
          <cell r="E68">
            <v>0</v>
          </cell>
        </row>
        <row r="69">
          <cell r="E69">
            <v>0</v>
          </cell>
        </row>
        <row r="70">
          <cell r="E70">
            <v>0</v>
          </cell>
        </row>
        <row r="71">
          <cell r="E71">
            <v>0</v>
          </cell>
        </row>
        <row r="73">
          <cell r="E73">
            <v>0</v>
          </cell>
        </row>
        <row r="74">
          <cell r="E74">
            <v>0</v>
          </cell>
        </row>
        <row r="75">
          <cell r="E75">
            <v>0</v>
          </cell>
        </row>
        <row r="77">
          <cell r="E77">
            <v>0</v>
          </cell>
        </row>
        <row r="78">
          <cell r="E78">
            <v>0</v>
          </cell>
        </row>
        <row r="79">
          <cell r="E79">
            <v>0</v>
          </cell>
        </row>
        <row r="80">
          <cell r="E80">
            <v>9529800</v>
          </cell>
        </row>
        <row r="81">
          <cell r="E81">
            <v>0</v>
          </cell>
        </row>
        <row r="82">
          <cell r="E82">
            <v>9529800</v>
          </cell>
        </row>
        <row r="84">
          <cell r="E84">
            <v>0</v>
          </cell>
          <cell r="F84">
            <v>0</v>
          </cell>
        </row>
        <row r="85">
          <cell r="E85">
            <v>0</v>
          </cell>
          <cell r="F85">
            <v>0</v>
          </cell>
        </row>
        <row r="86">
          <cell r="E86">
            <v>0</v>
          </cell>
        </row>
        <row r="87">
          <cell r="E87">
            <v>0</v>
          </cell>
        </row>
        <row r="88">
          <cell r="E88">
            <v>0</v>
          </cell>
        </row>
        <row r="90">
          <cell r="E90">
            <v>0</v>
          </cell>
        </row>
        <row r="91">
          <cell r="E91">
            <v>0</v>
          </cell>
        </row>
        <row r="92">
          <cell r="E92">
            <v>0</v>
          </cell>
        </row>
        <row r="93">
          <cell r="E93">
            <v>0</v>
          </cell>
        </row>
        <row r="94">
          <cell r="E94">
            <v>0</v>
          </cell>
        </row>
        <row r="95">
          <cell r="E95">
            <v>0</v>
          </cell>
        </row>
        <row r="96">
          <cell r="E96">
            <v>0</v>
          </cell>
        </row>
        <row r="97">
          <cell r="E97">
            <v>0</v>
          </cell>
        </row>
        <row r="98">
          <cell r="E98">
            <v>0</v>
          </cell>
        </row>
        <row r="99">
          <cell r="E99">
            <v>0</v>
          </cell>
        </row>
        <row r="100">
          <cell r="E100">
            <v>0</v>
          </cell>
        </row>
        <row r="101">
          <cell r="E101">
            <v>0</v>
          </cell>
        </row>
        <row r="102">
          <cell r="E102">
            <v>0</v>
          </cell>
        </row>
        <row r="103">
          <cell r="E103">
            <v>0</v>
          </cell>
        </row>
        <row r="104">
          <cell r="E104">
            <v>0</v>
          </cell>
        </row>
        <row r="105">
          <cell r="E105">
            <v>0</v>
          </cell>
        </row>
        <row r="106">
          <cell r="E106">
            <v>0</v>
          </cell>
        </row>
        <row r="107">
          <cell r="E107">
            <v>0</v>
          </cell>
        </row>
        <row r="108">
          <cell r="E108">
            <v>0</v>
          </cell>
        </row>
        <row r="109">
          <cell r="E109">
            <v>0</v>
          </cell>
        </row>
        <row r="110">
          <cell r="E110">
            <v>0</v>
          </cell>
        </row>
        <row r="111">
          <cell r="E111">
            <v>0</v>
          </cell>
        </row>
        <row r="112">
          <cell r="E112">
            <v>0</v>
          </cell>
        </row>
        <row r="113">
          <cell r="E113">
            <v>0</v>
          </cell>
        </row>
        <row r="114">
          <cell r="E114">
            <v>0</v>
          </cell>
        </row>
        <row r="115">
          <cell r="E115">
            <v>0</v>
          </cell>
        </row>
        <row r="116">
          <cell r="E116">
            <v>0</v>
          </cell>
        </row>
        <row r="117">
          <cell r="E117">
            <v>0</v>
          </cell>
        </row>
        <row r="118">
          <cell r="E118">
            <v>0</v>
          </cell>
        </row>
        <row r="119">
          <cell r="E119">
            <v>0</v>
          </cell>
        </row>
        <row r="120">
          <cell r="E120">
            <v>0</v>
          </cell>
          <cell r="F120">
            <v>0</v>
          </cell>
        </row>
        <row r="121">
          <cell r="E121">
            <v>0</v>
          </cell>
        </row>
        <row r="122">
          <cell r="E122">
            <v>0</v>
          </cell>
        </row>
        <row r="123">
          <cell r="E123">
            <v>0</v>
          </cell>
          <cell r="F123">
            <v>0</v>
          </cell>
        </row>
        <row r="124">
          <cell r="E124">
            <v>0</v>
          </cell>
        </row>
        <row r="125">
          <cell r="E125">
            <v>0</v>
          </cell>
        </row>
        <row r="126">
          <cell r="E126">
            <v>0</v>
          </cell>
        </row>
        <row r="127">
          <cell r="E127">
            <v>0</v>
          </cell>
        </row>
        <row r="128">
          <cell r="E128">
            <v>0</v>
          </cell>
        </row>
        <row r="129">
          <cell r="E129">
            <v>0</v>
          </cell>
        </row>
        <row r="130">
          <cell r="E130">
            <v>0</v>
          </cell>
        </row>
        <row r="131">
          <cell r="E131">
            <v>0</v>
          </cell>
        </row>
        <row r="133">
          <cell r="E133">
            <v>0</v>
          </cell>
          <cell r="F133">
            <v>121500000</v>
          </cell>
        </row>
        <row r="134">
          <cell r="E134">
            <v>0</v>
          </cell>
          <cell r="F134">
            <v>121500000</v>
          </cell>
        </row>
        <row r="135">
          <cell r="E135">
            <v>0</v>
          </cell>
        </row>
        <row r="136">
          <cell r="E136">
            <v>0</v>
          </cell>
          <cell r="F136">
            <v>0</v>
          </cell>
        </row>
        <row r="137">
          <cell r="E137">
            <v>0</v>
          </cell>
          <cell r="F137">
            <v>0</v>
          </cell>
        </row>
        <row r="138">
          <cell r="E138">
            <v>0</v>
          </cell>
        </row>
        <row r="139">
          <cell r="E139">
            <v>0</v>
          </cell>
        </row>
        <row r="140">
          <cell r="E140">
            <v>0</v>
          </cell>
        </row>
        <row r="141">
          <cell r="E141">
            <v>0</v>
          </cell>
        </row>
        <row r="142">
          <cell r="E142">
            <v>0</v>
          </cell>
        </row>
        <row r="143">
          <cell r="E143">
            <v>0</v>
          </cell>
        </row>
        <row r="144">
          <cell r="E144">
            <v>0</v>
          </cell>
        </row>
        <row r="145">
          <cell r="E145">
            <v>0</v>
          </cell>
        </row>
        <row r="146">
          <cell r="E146">
            <v>0</v>
          </cell>
        </row>
        <row r="147">
          <cell r="E147">
            <v>0</v>
          </cell>
        </row>
        <row r="148">
          <cell r="E148">
            <v>0</v>
          </cell>
        </row>
        <row r="149">
          <cell r="E149">
            <v>0</v>
          </cell>
        </row>
        <row r="150">
          <cell r="E150">
            <v>0</v>
          </cell>
        </row>
        <row r="154">
          <cell r="E154">
            <v>4173787469</v>
          </cell>
          <cell r="F154">
            <v>3243643051</v>
          </cell>
        </row>
        <row r="156">
          <cell r="E156">
            <v>1774703000</v>
          </cell>
        </row>
        <row r="157">
          <cell r="E157">
            <v>201993834</v>
          </cell>
        </row>
        <row r="158">
          <cell r="E158">
            <v>142590000</v>
          </cell>
        </row>
        <row r="159">
          <cell r="E159">
            <v>0</v>
          </cell>
        </row>
        <row r="160">
          <cell r="E160">
            <v>69205000</v>
          </cell>
        </row>
        <row r="161">
          <cell r="E161">
            <v>111164700</v>
          </cell>
        </row>
        <row r="162">
          <cell r="E162">
            <v>4504214</v>
          </cell>
        </row>
        <row r="163">
          <cell r="E163">
            <v>26821</v>
          </cell>
        </row>
        <row r="164">
          <cell r="E164">
            <v>0</v>
          </cell>
        </row>
        <row r="165">
          <cell r="E165">
            <v>0</v>
          </cell>
        </row>
        <row r="166">
          <cell r="E166">
            <v>0</v>
          </cell>
        </row>
        <row r="167">
          <cell r="E167">
            <v>0</v>
          </cell>
        </row>
        <row r="168">
          <cell r="E168">
            <v>0</v>
          </cell>
        </row>
        <row r="169">
          <cell r="E169">
            <v>0</v>
          </cell>
        </row>
        <row r="170">
          <cell r="E170">
            <v>0</v>
          </cell>
        </row>
        <row r="171">
          <cell r="E171">
            <v>0</v>
          </cell>
        </row>
        <row r="172">
          <cell r="E172">
            <v>0</v>
          </cell>
        </row>
        <row r="173">
          <cell r="E173">
            <v>0</v>
          </cell>
        </row>
        <row r="174">
          <cell r="E174">
            <v>0</v>
          </cell>
        </row>
        <row r="175">
          <cell r="E175">
            <v>0</v>
          </cell>
        </row>
        <row r="176">
          <cell r="E176">
            <v>0</v>
          </cell>
        </row>
        <row r="178">
          <cell r="E178">
            <v>1406186700</v>
          </cell>
        </row>
        <row r="180">
          <cell r="E180">
            <v>0</v>
          </cell>
        </row>
        <row r="181">
          <cell r="E181">
            <v>0</v>
          </cell>
        </row>
        <row r="183">
          <cell r="E183">
            <v>0</v>
          </cell>
        </row>
        <row r="184">
          <cell r="E184">
            <v>147438200</v>
          </cell>
        </row>
        <row r="185">
          <cell r="E185">
            <v>147438200</v>
          </cell>
        </row>
        <row r="187">
          <cell r="E187">
            <v>21750000</v>
          </cell>
        </row>
        <row r="188">
          <cell r="E188">
            <v>6200000</v>
          </cell>
        </row>
        <row r="189">
          <cell r="E189">
            <v>90850000</v>
          </cell>
        </row>
        <row r="191">
          <cell r="E191">
            <v>0</v>
          </cell>
        </row>
        <row r="192">
          <cell r="E192">
            <v>0</v>
          </cell>
        </row>
        <row r="193">
          <cell r="E193">
            <v>0</v>
          </cell>
        </row>
        <row r="194">
          <cell r="E194">
            <v>0</v>
          </cell>
        </row>
        <row r="195">
          <cell r="E195">
            <v>70799000</v>
          </cell>
        </row>
        <row r="196">
          <cell r="E196">
            <v>9480000</v>
          </cell>
        </row>
        <row r="197">
          <cell r="E197">
            <v>3150000</v>
          </cell>
        </row>
        <row r="198">
          <cell r="E198">
            <v>0</v>
          </cell>
        </row>
        <row r="200">
          <cell r="E200">
            <v>0</v>
          </cell>
        </row>
        <row r="201">
          <cell r="E201">
            <v>0</v>
          </cell>
        </row>
        <row r="202">
          <cell r="E202">
            <v>0</v>
          </cell>
        </row>
        <row r="203">
          <cell r="E203">
            <v>0</v>
          </cell>
        </row>
        <row r="204">
          <cell r="E204">
            <v>0</v>
          </cell>
        </row>
        <row r="205">
          <cell r="E205">
            <v>0</v>
          </cell>
        </row>
        <row r="207">
          <cell r="E207">
            <v>4746000</v>
          </cell>
        </row>
        <row r="208">
          <cell r="E208">
            <v>0</v>
          </cell>
        </row>
        <row r="210">
          <cell r="E210">
            <v>0</v>
          </cell>
        </row>
        <row r="211">
          <cell r="E211">
            <v>109000000</v>
          </cell>
        </row>
        <row r="213">
          <cell r="E213">
            <v>0</v>
          </cell>
        </row>
        <row r="214">
          <cell r="E214">
            <v>0</v>
          </cell>
        </row>
        <row r="216">
          <cell r="E216">
            <v>0</v>
          </cell>
        </row>
        <row r="217">
          <cell r="E217">
            <v>0</v>
          </cell>
        </row>
        <row r="218">
          <cell r="E218">
            <v>0</v>
          </cell>
        </row>
        <row r="219">
          <cell r="E219">
            <v>0</v>
          </cell>
        </row>
        <row r="220">
          <cell r="E220">
            <v>608396450</v>
          </cell>
          <cell r="F220">
            <v>818335250</v>
          </cell>
        </row>
        <row r="222">
          <cell r="E222">
            <v>40136300</v>
          </cell>
        </row>
        <row r="223">
          <cell r="E223">
            <v>3817300</v>
          </cell>
        </row>
        <row r="224">
          <cell r="E224">
            <v>2115000</v>
          </cell>
        </row>
        <row r="225">
          <cell r="E225">
            <v>5514500</v>
          </cell>
        </row>
        <row r="226">
          <cell r="E226">
            <v>580000</v>
          </cell>
        </row>
        <row r="227">
          <cell r="E227">
            <v>0</v>
          </cell>
        </row>
        <row r="228">
          <cell r="E228">
            <v>0</v>
          </cell>
        </row>
        <row r="229">
          <cell r="E229">
            <v>0</v>
          </cell>
        </row>
        <row r="230">
          <cell r="E230">
            <v>0</v>
          </cell>
        </row>
        <row r="231">
          <cell r="E231">
            <v>126426000</v>
          </cell>
        </row>
        <row r="233">
          <cell r="E233">
            <v>174693000</v>
          </cell>
        </row>
        <row r="237">
          <cell r="E237">
            <v>16409000</v>
          </cell>
        </row>
        <row r="238">
          <cell r="E238">
            <v>0</v>
          </cell>
        </row>
        <row r="239">
          <cell r="E239">
            <v>0</v>
          </cell>
        </row>
        <row r="240">
          <cell r="E240">
            <v>0</v>
          </cell>
        </row>
        <row r="241">
          <cell r="E241">
            <v>0</v>
          </cell>
        </row>
        <row r="242">
          <cell r="E242">
            <v>214250000</v>
          </cell>
        </row>
        <row r="243">
          <cell r="E243">
            <v>0</v>
          </cell>
        </row>
        <row r="244">
          <cell r="E244">
            <v>0</v>
          </cell>
        </row>
        <row r="245">
          <cell r="E245">
            <v>0</v>
          </cell>
        </row>
        <row r="246">
          <cell r="E246">
            <v>0</v>
          </cell>
        </row>
        <row r="247">
          <cell r="E247">
            <v>0</v>
          </cell>
        </row>
        <row r="248">
          <cell r="E248">
            <v>0</v>
          </cell>
        </row>
        <row r="249">
          <cell r="E249">
            <v>0</v>
          </cell>
        </row>
        <row r="250">
          <cell r="E250">
            <v>0</v>
          </cell>
        </row>
        <row r="251">
          <cell r="E251">
            <v>3750000</v>
          </cell>
        </row>
        <row r="252">
          <cell r="E252">
            <v>0</v>
          </cell>
        </row>
        <row r="253">
          <cell r="E253">
            <v>3511494582</v>
          </cell>
          <cell r="F253">
            <v>1513121353</v>
          </cell>
        </row>
        <row r="255">
          <cell r="E255">
            <v>11200175</v>
          </cell>
        </row>
        <row r="256">
          <cell r="E256">
            <v>3454338</v>
          </cell>
        </row>
        <row r="257">
          <cell r="E257">
            <v>41548484</v>
          </cell>
        </row>
        <row r="258">
          <cell r="E258">
            <v>3465000</v>
          </cell>
        </row>
        <row r="259">
          <cell r="E259">
            <v>0</v>
          </cell>
        </row>
        <row r="260">
          <cell r="E260">
            <v>0</v>
          </cell>
        </row>
        <row r="261">
          <cell r="E261">
            <v>0</v>
          </cell>
        </row>
        <row r="262">
          <cell r="E262">
            <v>189050000</v>
          </cell>
        </row>
        <row r="263">
          <cell r="E263">
            <v>0</v>
          </cell>
        </row>
        <row r="264">
          <cell r="E264">
            <v>0</v>
          </cell>
        </row>
        <row r="265">
          <cell r="E265">
            <v>0</v>
          </cell>
        </row>
        <row r="266">
          <cell r="E266">
            <v>0</v>
          </cell>
        </row>
        <row r="267">
          <cell r="E267">
            <v>410865000</v>
          </cell>
        </row>
        <row r="268">
          <cell r="E268">
            <v>240000</v>
          </cell>
        </row>
        <row r="269">
          <cell r="E269">
            <v>115640000</v>
          </cell>
        </row>
        <row r="270">
          <cell r="E270">
            <v>1693625</v>
          </cell>
        </row>
        <row r="271">
          <cell r="E271">
            <v>454575000</v>
          </cell>
        </row>
        <row r="272">
          <cell r="E272">
            <v>9000000</v>
          </cell>
        </row>
        <row r="273">
          <cell r="E273">
            <v>63332000</v>
          </cell>
        </row>
        <row r="274">
          <cell r="E274">
            <v>0</v>
          </cell>
        </row>
        <row r="275">
          <cell r="E275">
            <v>57450000</v>
          </cell>
        </row>
        <row r="276">
          <cell r="E276">
            <v>0</v>
          </cell>
        </row>
        <row r="277">
          <cell r="E277">
            <v>0</v>
          </cell>
        </row>
        <row r="278">
          <cell r="E278">
            <v>0</v>
          </cell>
        </row>
        <row r="279">
          <cell r="E279">
            <v>0</v>
          </cell>
        </row>
        <row r="280">
          <cell r="E280">
            <v>0</v>
          </cell>
        </row>
        <row r="281">
          <cell r="E281">
            <v>0</v>
          </cell>
        </row>
        <row r="282">
          <cell r="E282">
            <v>635042960</v>
          </cell>
        </row>
        <row r="283">
          <cell r="E283">
            <v>0</v>
          </cell>
        </row>
        <row r="284">
          <cell r="E284">
            <v>0</v>
          </cell>
        </row>
        <row r="285">
          <cell r="E285">
            <v>0</v>
          </cell>
        </row>
        <row r="286">
          <cell r="E286">
            <v>0</v>
          </cell>
        </row>
        <row r="287">
          <cell r="E287">
            <v>71250000</v>
          </cell>
        </row>
        <row r="288">
          <cell r="E288">
            <v>0</v>
          </cell>
        </row>
        <row r="289">
          <cell r="E289">
            <v>430644500</v>
          </cell>
        </row>
        <row r="290">
          <cell r="E290">
            <v>0</v>
          </cell>
        </row>
        <row r="291">
          <cell r="E291">
            <v>0</v>
          </cell>
        </row>
        <row r="292">
          <cell r="E292">
            <v>0</v>
          </cell>
        </row>
        <row r="294">
          <cell r="E294">
            <v>0</v>
          </cell>
        </row>
        <row r="295">
          <cell r="E295">
            <v>0</v>
          </cell>
        </row>
        <row r="297">
          <cell r="E297">
            <v>14500000</v>
          </cell>
        </row>
        <row r="298">
          <cell r="E298">
            <v>0</v>
          </cell>
        </row>
        <row r="299">
          <cell r="E299">
            <v>38700000</v>
          </cell>
        </row>
        <row r="300">
          <cell r="E300">
            <v>0</v>
          </cell>
        </row>
        <row r="301">
          <cell r="E301">
            <v>13100000</v>
          </cell>
        </row>
        <row r="303">
          <cell r="E303">
            <v>77150000</v>
          </cell>
        </row>
        <row r="304">
          <cell r="E304">
            <v>0</v>
          </cell>
        </row>
        <row r="306">
          <cell r="E306">
            <v>0</v>
          </cell>
        </row>
        <row r="307">
          <cell r="E307">
            <v>0</v>
          </cell>
        </row>
        <row r="309">
          <cell r="E309">
            <v>15570000</v>
          </cell>
        </row>
        <row r="310">
          <cell r="E310">
            <v>0</v>
          </cell>
        </row>
        <row r="311">
          <cell r="E311">
            <v>0</v>
          </cell>
        </row>
        <row r="312">
          <cell r="E312">
            <v>0</v>
          </cell>
        </row>
        <row r="313">
          <cell r="E313">
            <v>28150000</v>
          </cell>
        </row>
        <row r="314">
          <cell r="E314">
            <v>37200000</v>
          </cell>
        </row>
        <row r="315">
          <cell r="E315">
            <v>79050000</v>
          </cell>
        </row>
        <row r="316">
          <cell r="E316">
            <v>0</v>
          </cell>
        </row>
        <row r="317">
          <cell r="E317">
            <v>4000000</v>
          </cell>
        </row>
        <row r="318">
          <cell r="E318">
            <v>0</v>
          </cell>
        </row>
        <row r="319">
          <cell r="E319">
            <v>0</v>
          </cell>
        </row>
        <row r="321">
          <cell r="E321">
            <v>0</v>
          </cell>
        </row>
        <row r="322">
          <cell r="E322">
            <v>50487500</v>
          </cell>
        </row>
        <row r="323">
          <cell r="E323">
            <v>735000</v>
          </cell>
        </row>
        <row r="324">
          <cell r="E324">
            <v>0</v>
          </cell>
        </row>
        <row r="325">
          <cell r="E325">
            <v>611346000</v>
          </cell>
        </row>
        <row r="326">
          <cell r="E326">
            <v>1080000</v>
          </cell>
        </row>
        <row r="328">
          <cell r="E328">
            <v>0</v>
          </cell>
        </row>
        <row r="329">
          <cell r="E329">
            <v>0</v>
          </cell>
        </row>
        <row r="330">
          <cell r="E330">
            <v>0</v>
          </cell>
        </row>
        <row r="331">
          <cell r="E331">
            <v>0</v>
          </cell>
        </row>
        <row r="332">
          <cell r="E332">
            <v>0</v>
          </cell>
        </row>
        <row r="333">
          <cell r="E333">
            <v>0</v>
          </cell>
        </row>
        <row r="335">
          <cell r="E335">
            <v>0</v>
          </cell>
        </row>
        <row r="337">
          <cell r="E337">
            <v>0</v>
          </cell>
        </row>
        <row r="338">
          <cell r="E338">
            <v>6750000</v>
          </cell>
        </row>
        <row r="339">
          <cell r="E339">
            <v>35225000</v>
          </cell>
        </row>
        <row r="340">
          <cell r="E340">
            <v>0</v>
          </cell>
        </row>
        <row r="341">
          <cell r="E341">
            <v>0</v>
          </cell>
        </row>
        <row r="342">
          <cell r="E342">
            <v>0</v>
          </cell>
        </row>
        <row r="343">
          <cell r="E343">
            <v>0</v>
          </cell>
        </row>
        <row r="345">
          <cell r="E345">
            <v>0</v>
          </cell>
        </row>
        <row r="347">
          <cell r="E347">
            <v>0</v>
          </cell>
        </row>
        <row r="348">
          <cell r="E348">
            <v>0</v>
          </cell>
        </row>
        <row r="350">
          <cell r="E350">
            <v>0</v>
          </cell>
        </row>
        <row r="352">
          <cell r="E352">
            <v>0</v>
          </cell>
        </row>
        <row r="354">
          <cell r="E354">
            <v>0</v>
          </cell>
        </row>
        <row r="355">
          <cell r="E355">
            <v>0</v>
          </cell>
        </row>
        <row r="356">
          <cell r="E356">
            <v>0</v>
          </cell>
        </row>
        <row r="357">
          <cell r="E357">
            <v>0</v>
          </cell>
        </row>
        <row r="359">
          <cell r="E359">
            <v>0</v>
          </cell>
        </row>
        <row r="360">
          <cell r="E360">
            <v>0</v>
          </cell>
        </row>
        <row r="361">
          <cell r="E361">
            <v>0</v>
          </cell>
          <cell r="F361">
            <v>70118478</v>
          </cell>
        </row>
        <row r="362">
          <cell r="E362">
            <v>0</v>
          </cell>
        </row>
        <row r="369">
          <cell r="E369">
            <v>0</v>
          </cell>
        </row>
        <row r="374">
          <cell r="E374">
            <v>512102737</v>
          </cell>
          <cell r="F374">
            <v>170430568</v>
          </cell>
        </row>
        <row r="375">
          <cell r="E375">
            <v>512102737</v>
          </cell>
        </row>
        <row r="378">
          <cell r="E378">
            <v>0</v>
          </cell>
        </row>
        <row r="383">
          <cell r="E383">
            <v>954935000</v>
          </cell>
          <cell r="F383">
            <v>327696600</v>
          </cell>
        </row>
        <row r="384">
          <cell r="E384">
            <v>0</v>
          </cell>
        </row>
        <row r="386">
          <cell r="E386">
            <v>0</v>
          </cell>
        </row>
        <row r="388">
          <cell r="E388">
            <v>0</v>
          </cell>
        </row>
        <row r="392">
          <cell r="E392">
            <v>0</v>
          </cell>
        </row>
        <row r="394">
          <cell r="E394">
            <v>954935000</v>
          </cell>
        </row>
        <row r="401">
          <cell r="E401">
            <v>0</v>
          </cell>
          <cell r="F401">
            <v>0</v>
          </cell>
        </row>
        <row r="405">
          <cell r="E405">
            <v>0</v>
          </cell>
        </row>
        <row r="410">
          <cell r="E410">
            <v>0</v>
          </cell>
          <cell r="F410">
            <v>222094161.90000001</v>
          </cell>
        </row>
        <row r="411">
          <cell r="E411">
            <v>0</v>
          </cell>
        </row>
        <row r="412">
          <cell r="E412">
            <v>0</v>
          </cell>
        </row>
        <row r="413">
          <cell r="E413">
            <v>0</v>
          </cell>
        </row>
        <row r="414">
          <cell r="E414">
            <v>0</v>
          </cell>
        </row>
        <row r="415">
          <cell r="E415">
            <v>0</v>
          </cell>
          <cell r="F415">
            <v>0</v>
          </cell>
        </row>
        <row r="416">
          <cell r="E416">
            <v>0</v>
          </cell>
        </row>
        <row r="418">
          <cell r="E418">
            <v>0</v>
          </cell>
        </row>
        <row r="420">
          <cell r="E420">
            <v>0</v>
          </cell>
        </row>
        <row r="425">
          <cell r="E425">
            <v>0</v>
          </cell>
        </row>
        <row r="436">
          <cell r="E436">
            <v>0</v>
          </cell>
          <cell r="F436">
            <v>0</v>
          </cell>
        </row>
        <row r="437">
          <cell r="E437">
            <v>0</v>
          </cell>
        </row>
        <row r="438">
          <cell r="E438">
            <v>0</v>
          </cell>
        </row>
        <row r="440">
          <cell r="E440">
            <v>-4773905638</v>
          </cell>
          <cell r="F440">
            <v>-2501576461.8999996</v>
          </cell>
          <cell r="G440">
            <v>90.835887317796349</v>
          </cell>
          <cell r="H440">
            <v>-2272329176.1000004</v>
          </cell>
        </row>
        <row r="450">
          <cell r="G450">
            <v>90.835887317796349</v>
          </cell>
          <cell r="H450">
            <v>-2272329176.1000004</v>
          </cell>
        </row>
      </sheetData>
      <sheetData sheetId="5">
        <row r="9">
          <cell r="C9">
            <v>-1430890037.8999996</v>
          </cell>
        </row>
        <row r="10">
          <cell r="C10">
            <v>-5839266496</v>
          </cell>
        </row>
        <row r="12">
          <cell r="C12">
            <v>20629505736</v>
          </cell>
        </row>
        <row r="14">
          <cell r="B14" t="str">
            <v xml:space="preserve">       Mutasi aset dari Dinas Perhubungan</v>
          </cell>
          <cell r="C14">
            <v>0</v>
          </cell>
        </row>
        <row r="15">
          <cell r="B15" t="str">
            <v xml:space="preserve">       Koreksi akumulasi penyusutan/amortisasi </v>
          </cell>
          <cell r="C15">
            <v>0</v>
          </cell>
        </row>
        <row r="16">
          <cell r="B16" t="str">
            <v xml:space="preserve">       Serah terima skpd</v>
          </cell>
          <cell r="C16">
            <v>0</v>
          </cell>
        </row>
        <row r="17">
          <cell r="B17" t="str">
            <v xml:space="preserve">       Mutasi Karcis dari BPPKAD</v>
          </cell>
          <cell r="C17">
            <v>0</v>
          </cell>
        </row>
        <row r="24">
          <cell r="C24">
            <v>13359349202.1</v>
          </cell>
        </row>
      </sheetData>
      <sheetData sheetId="6"/>
      <sheetData sheetId="7"/>
      <sheetData sheetId="8"/>
      <sheetData sheetId="9"/>
      <sheetData sheetId="10"/>
      <sheetData sheetId="11"/>
      <sheetData sheetId="12">
        <row r="334">
          <cell r="AB334" t="str">
            <v>Anggaran</v>
          </cell>
          <cell r="AF334" t="str">
            <v xml:space="preserve">Realisasi </v>
          </cell>
        </row>
        <row r="335">
          <cell r="V335" t="str">
            <v>BELANJA OPERASI</v>
          </cell>
          <cell r="AB335">
            <v>11922982796</v>
          </cell>
          <cell r="AF335">
            <v>9662122630</v>
          </cell>
        </row>
        <row r="336">
          <cell r="V336" t="str">
            <v>BELANJA MODAL</v>
          </cell>
          <cell r="AB336">
            <v>15898136000</v>
          </cell>
          <cell r="AF336">
            <v>82667202576</v>
          </cell>
        </row>
        <row r="337">
          <cell r="V337" t="str">
            <v>BELANJA MODAL</v>
          </cell>
          <cell r="AB337">
            <v>0</v>
          </cell>
          <cell r="AF337">
            <v>0</v>
          </cell>
        </row>
        <row r="338">
          <cell r="V338" t="str">
            <v>TRANSFER</v>
          </cell>
          <cell r="AB338">
            <v>0</v>
          </cell>
          <cell r="AF338">
            <v>0</v>
          </cell>
        </row>
        <row r="374">
          <cell r="J374">
            <v>9662122630</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00E7D-8403-44F1-B935-DDA91D73D113}">
  <dimension ref="A1:AN2526"/>
  <sheetViews>
    <sheetView tabSelected="1" workbookViewId="0">
      <selection activeCell="AC8" sqref="AC8"/>
    </sheetView>
  </sheetViews>
  <sheetFormatPr defaultRowHeight="15" x14ac:dyDescent="0.25"/>
  <cols>
    <col min="1" max="1" width="14.1640625" style="3" customWidth="1"/>
    <col min="2" max="2" width="6.6640625" style="2" customWidth="1"/>
    <col min="3" max="3" width="5.5" style="2" customWidth="1"/>
    <col min="4" max="5" width="3.1640625" style="2" customWidth="1"/>
    <col min="6" max="8" width="4.1640625" style="2" customWidth="1"/>
    <col min="9" max="9" width="5" style="2" customWidth="1"/>
    <col min="10" max="10" width="4.1640625" style="2" customWidth="1"/>
    <col min="11" max="11" width="5" style="2" customWidth="1"/>
    <col min="12" max="12" width="3.6640625" style="2" customWidth="1"/>
    <col min="13" max="13" width="5" style="2" customWidth="1"/>
    <col min="14" max="14" width="4.6640625" style="2" customWidth="1"/>
    <col min="15" max="15" width="4.1640625" style="2" customWidth="1"/>
    <col min="16" max="17" width="4.6640625" style="2" customWidth="1"/>
    <col min="18" max="18" width="4.1640625" style="2" customWidth="1"/>
    <col min="19" max="19" width="2.83203125" style="2" customWidth="1"/>
    <col min="20" max="20" width="2.1640625" style="4" customWidth="1"/>
    <col min="21" max="21" width="7" style="4" customWidth="1"/>
    <col min="22" max="22" width="4.1640625" style="2" customWidth="1"/>
    <col min="23" max="23" width="3.83203125" style="2" customWidth="1"/>
    <col min="24" max="24" width="2.6640625" style="2" customWidth="1"/>
    <col min="25" max="25" width="3.83203125" style="2" customWidth="1"/>
    <col min="26" max="26" width="7.5" style="2" customWidth="1"/>
    <col min="27" max="27" width="2.83203125" style="2" customWidth="1"/>
    <col min="28" max="28" width="6.6640625" style="2" customWidth="1"/>
    <col min="29" max="29" width="4.33203125" style="2" customWidth="1"/>
    <col min="30" max="30" width="5" style="2" customWidth="1"/>
    <col min="31" max="33" width="4.5" style="2" customWidth="1"/>
    <col min="34" max="34" width="3.1640625" style="2" customWidth="1"/>
    <col min="35" max="39" width="3.5" style="2" customWidth="1"/>
    <col min="40" max="256" width="9.33203125" style="2"/>
    <col min="257" max="257" width="14.1640625" style="2" customWidth="1"/>
    <col min="258" max="258" width="6.6640625" style="2" customWidth="1"/>
    <col min="259" max="259" width="5.5" style="2" customWidth="1"/>
    <col min="260" max="261" width="3.1640625" style="2" customWidth="1"/>
    <col min="262" max="264" width="4.1640625" style="2" customWidth="1"/>
    <col min="265" max="265" width="5" style="2" customWidth="1"/>
    <col min="266" max="266" width="4.1640625" style="2" customWidth="1"/>
    <col min="267" max="267" width="5" style="2" customWidth="1"/>
    <col min="268" max="268" width="3.6640625" style="2" customWidth="1"/>
    <col min="269" max="269" width="5" style="2" customWidth="1"/>
    <col min="270" max="270" width="4.6640625" style="2" customWidth="1"/>
    <col min="271" max="271" width="4.1640625" style="2" customWidth="1"/>
    <col min="272" max="273" width="4.6640625" style="2" customWidth="1"/>
    <col min="274" max="274" width="4.1640625" style="2" customWidth="1"/>
    <col min="275" max="275" width="2.83203125" style="2" customWidth="1"/>
    <col min="276" max="276" width="2.1640625" style="2" customWidth="1"/>
    <col min="277" max="277" width="7" style="2" customWidth="1"/>
    <col min="278" max="278" width="4.1640625" style="2" customWidth="1"/>
    <col min="279" max="279" width="3.83203125" style="2" customWidth="1"/>
    <col min="280" max="280" width="2.6640625" style="2" customWidth="1"/>
    <col min="281" max="281" width="3.83203125" style="2" customWidth="1"/>
    <col min="282" max="282" width="7.5" style="2" customWidth="1"/>
    <col min="283" max="283" width="2.83203125" style="2" customWidth="1"/>
    <col min="284" max="284" width="6.6640625" style="2" customWidth="1"/>
    <col min="285" max="285" width="4.33203125" style="2" customWidth="1"/>
    <col min="286" max="286" width="5" style="2" customWidth="1"/>
    <col min="287" max="289" width="4.5" style="2" customWidth="1"/>
    <col min="290" max="290" width="3.1640625" style="2" customWidth="1"/>
    <col min="291" max="295" width="3.5" style="2" customWidth="1"/>
    <col min="296" max="512" width="9.33203125" style="2"/>
    <col min="513" max="513" width="14.1640625" style="2" customWidth="1"/>
    <col min="514" max="514" width="6.6640625" style="2" customWidth="1"/>
    <col min="515" max="515" width="5.5" style="2" customWidth="1"/>
    <col min="516" max="517" width="3.1640625" style="2" customWidth="1"/>
    <col min="518" max="520" width="4.1640625" style="2" customWidth="1"/>
    <col min="521" max="521" width="5" style="2" customWidth="1"/>
    <col min="522" max="522" width="4.1640625" style="2" customWidth="1"/>
    <col min="523" max="523" width="5" style="2" customWidth="1"/>
    <col min="524" max="524" width="3.6640625" style="2" customWidth="1"/>
    <col min="525" max="525" width="5" style="2" customWidth="1"/>
    <col min="526" max="526" width="4.6640625" style="2" customWidth="1"/>
    <col min="527" max="527" width="4.1640625" style="2" customWidth="1"/>
    <col min="528" max="529" width="4.6640625" style="2" customWidth="1"/>
    <col min="530" max="530" width="4.1640625" style="2" customWidth="1"/>
    <col min="531" max="531" width="2.83203125" style="2" customWidth="1"/>
    <col min="532" max="532" width="2.1640625" style="2" customWidth="1"/>
    <col min="533" max="533" width="7" style="2" customWidth="1"/>
    <col min="534" max="534" width="4.1640625" style="2" customWidth="1"/>
    <col min="535" max="535" width="3.83203125" style="2" customWidth="1"/>
    <col min="536" max="536" width="2.6640625" style="2" customWidth="1"/>
    <col min="537" max="537" width="3.83203125" style="2" customWidth="1"/>
    <col min="538" max="538" width="7.5" style="2" customWidth="1"/>
    <col min="539" max="539" width="2.83203125" style="2" customWidth="1"/>
    <col min="540" max="540" width="6.6640625" style="2" customWidth="1"/>
    <col min="541" max="541" width="4.33203125" style="2" customWidth="1"/>
    <col min="542" max="542" width="5" style="2" customWidth="1"/>
    <col min="543" max="545" width="4.5" style="2" customWidth="1"/>
    <col min="546" max="546" width="3.1640625" style="2" customWidth="1"/>
    <col min="547" max="551" width="3.5" style="2" customWidth="1"/>
    <col min="552" max="768" width="9.33203125" style="2"/>
    <col min="769" max="769" width="14.1640625" style="2" customWidth="1"/>
    <col min="770" max="770" width="6.6640625" style="2" customWidth="1"/>
    <col min="771" max="771" width="5.5" style="2" customWidth="1"/>
    <col min="772" max="773" width="3.1640625" style="2" customWidth="1"/>
    <col min="774" max="776" width="4.1640625" style="2" customWidth="1"/>
    <col min="777" max="777" width="5" style="2" customWidth="1"/>
    <col min="778" max="778" width="4.1640625" style="2" customWidth="1"/>
    <col min="779" max="779" width="5" style="2" customWidth="1"/>
    <col min="780" max="780" width="3.6640625" style="2" customWidth="1"/>
    <col min="781" max="781" width="5" style="2" customWidth="1"/>
    <col min="782" max="782" width="4.6640625" style="2" customWidth="1"/>
    <col min="783" max="783" width="4.1640625" style="2" customWidth="1"/>
    <col min="784" max="785" width="4.6640625" style="2" customWidth="1"/>
    <col min="786" max="786" width="4.1640625" style="2" customWidth="1"/>
    <col min="787" max="787" width="2.83203125" style="2" customWidth="1"/>
    <col min="788" max="788" width="2.1640625" style="2" customWidth="1"/>
    <col min="789" max="789" width="7" style="2" customWidth="1"/>
    <col min="790" max="790" width="4.1640625" style="2" customWidth="1"/>
    <col min="791" max="791" width="3.83203125" style="2" customWidth="1"/>
    <col min="792" max="792" width="2.6640625" style="2" customWidth="1"/>
    <col min="793" max="793" width="3.83203125" style="2" customWidth="1"/>
    <col min="794" max="794" width="7.5" style="2" customWidth="1"/>
    <col min="795" max="795" width="2.83203125" style="2" customWidth="1"/>
    <col min="796" max="796" width="6.6640625" style="2" customWidth="1"/>
    <col min="797" max="797" width="4.33203125" style="2" customWidth="1"/>
    <col min="798" max="798" width="5" style="2" customWidth="1"/>
    <col min="799" max="801" width="4.5" style="2" customWidth="1"/>
    <col min="802" max="802" width="3.1640625" style="2" customWidth="1"/>
    <col min="803" max="807" width="3.5" style="2" customWidth="1"/>
    <col min="808" max="1024" width="9.33203125" style="2"/>
    <col min="1025" max="1025" width="14.1640625" style="2" customWidth="1"/>
    <col min="1026" max="1026" width="6.6640625" style="2" customWidth="1"/>
    <col min="1027" max="1027" width="5.5" style="2" customWidth="1"/>
    <col min="1028" max="1029" width="3.1640625" style="2" customWidth="1"/>
    <col min="1030" max="1032" width="4.1640625" style="2" customWidth="1"/>
    <col min="1033" max="1033" width="5" style="2" customWidth="1"/>
    <col min="1034" max="1034" width="4.1640625" style="2" customWidth="1"/>
    <col min="1035" max="1035" width="5" style="2" customWidth="1"/>
    <col min="1036" max="1036" width="3.6640625" style="2" customWidth="1"/>
    <col min="1037" max="1037" width="5" style="2" customWidth="1"/>
    <col min="1038" max="1038" width="4.6640625" style="2" customWidth="1"/>
    <col min="1039" max="1039" width="4.1640625" style="2" customWidth="1"/>
    <col min="1040" max="1041" width="4.6640625" style="2" customWidth="1"/>
    <col min="1042" max="1042" width="4.1640625" style="2" customWidth="1"/>
    <col min="1043" max="1043" width="2.83203125" style="2" customWidth="1"/>
    <col min="1044" max="1044" width="2.1640625" style="2" customWidth="1"/>
    <col min="1045" max="1045" width="7" style="2" customWidth="1"/>
    <col min="1046" max="1046" width="4.1640625" style="2" customWidth="1"/>
    <col min="1047" max="1047" width="3.83203125" style="2" customWidth="1"/>
    <col min="1048" max="1048" width="2.6640625" style="2" customWidth="1"/>
    <col min="1049" max="1049" width="3.83203125" style="2" customWidth="1"/>
    <col min="1050" max="1050" width="7.5" style="2" customWidth="1"/>
    <col min="1051" max="1051" width="2.83203125" style="2" customWidth="1"/>
    <col min="1052" max="1052" width="6.6640625" style="2" customWidth="1"/>
    <col min="1053" max="1053" width="4.33203125" style="2" customWidth="1"/>
    <col min="1054" max="1054" width="5" style="2" customWidth="1"/>
    <col min="1055" max="1057" width="4.5" style="2" customWidth="1"/>
    <col min="1058" max="1058" width="3.1640625" style="2" customWidth="1"/>
    <col min="1059" max="1063" width="3.5" style="2" customWidth="1"/>
    <col min="1064" max="1280" width="9.33203125" style="2"/>
    <col min="1281" max="1281" width="14.1640625" style="2" customWidth="1"/>
    <col min="1282" max="1282" width="6.6640625" style="2" customWidth="1"/>
    <col min="1283" max="1283" width="5.5" style="2" customWidth="1"/>
    <col min="1284" max="1285" width="3.1640625" style="2" customWidth="1"/>
    <col min="1286" max="1288" width="4.1640625" style="2" customWidth="1"/>
    <col min="1289" max="1289" width="5" style="2" customWidth="1"/>
    <col min="1290" max="1290" width="4.1640625" style="2" customWidth="1"/>
    <col min="1291" max="1291" width="5" style="2" customWidth="1"/>
    <col min="1292" max="1292" width="3.6640625" style="2" customWidth="1"/>
    <col min="1293" max="1293" width="5" style="2" customWidth="1"/>
    <col min="1294" max="1294" width="4.6640625" style="2" customWidth="1"/>
    <col min="1295" max="1295" width="4.1640625" style="2" customWidth="1"/>
    <col min="1296" max="1297" width="4.6640625" style="2" customWidth="1"/>
    <col min="1298" max="1298" width="4.1640625" style="2" customWidth="1"/>
    <col min="1299" max="1299" width="2.83203125" style="2" customWidth="1"/>
    <col min="1300" max="1300" width="2.1640625" style="2" customWidth="1"/>
    <col min="1301" max="1301" width="7" style="2" customWidth="1"/>
    <col min="1302" max="1302" width="4.1640625" style="2" customWidth="1"/>
    <col min="1303" max="1303" width="3.83203125" style="2" customWidth="1"/>
    <col min="1304" max="1304" width="2.6640625" style="2" customWidth="1"/>
    <col min="1305" max="1305" width="3.83203125" style="2" customWidth="1"/>
    <col min="1306" max="1306" width="7.5" style="2" customWidth="1"/>
    <col min="1307" max="1307" width="2.83203125" style="2" customWidth="1"/>
    <col min="1308" max="1308" width="6.6640625" style="2" customWidth="1"/>
    <col min="1309" max="1309" width="4.33203125" style="2" customWidth="1"/>
    <col min="1310" max="1310" width="5" style="2" customWidth="1"/>
    <col min="1311" max="1313" width="4.5" style="2" customWidth="1"/>
    <col min="1314" max="1314" width="3.1640625" style="2" customWidth="1"/>
    <col min="1315" max="1319" width="3.5" style="2" customWidth="1"/>
    <col min="1320" max="1536" width="9.33203125" style="2"/>
    <col min="1537" max="1537" width="14.1640625" style="2" customWidth="1"/>
    <col min="1538" max="1538" width="6.6640625" style="2" customWidth="1"/>
    <col min="1539" max="1539" width="5.5" style="2" customWidth="1"/>
    <col min="1540" max="1541" width="3.1640625" style="2" customWidth="1"/>
    <col min="1542" max="1544" width="4.1640625" style="2" customWidth="1"/>
    <col min="1545" max="1545" width="5" style="2" customWidth="1"/>
    <col min="1546" max="1546" width="4.1640625" style="2" customWidth="1"/>
    <col min="1547" max="1547" width="5" style="2" customWidth="1"/>
    <col min="1548" max="1548" width="3.6640625" style="2" customWidth="1"/>
    <col min="1549" max="1549" width="5" style="2" customWidth="1"/>
    <col min="1550" max="1550" width="4.6640625" style="2" customWidth="1"/>
    <col min="1551" max="1551" width="4.1640625" style="2" customWidth="1"/>
    <col min="1552" max="1553" width="4.6640625" style="2" customWidth="1"/>
    <col min="1554" max="1554" width="4.1640625" style="2" customWidth="1"/>
    <col min="1555" max="1555" width="2.83203125" style="2" customWidth="1"/>
    <col min="1556" max="1556" width="2.1640625" style="2" customWidth="1"/>
    <col min="1557" max="1557" width="7" style="2" customWidth="1"/>
    <col min="1558" max="1558" width="4.1640625" style="2" customWidth="1"/>
    <col min="1559" max="1559" width="3.83203125" style="2" customWidth="1"/>
    <col min="1560" max="1560" width="2.6640625" style="2" customWidth="1"/>
    <col min="1561" max="1561" width="3.83203125" style="2" customWidth="1"/>
    <col min="1562" max="1562" width="7.5" style="2" customWidth="1"/>
    <col min="1563" max="1563" width="2.83203125" style="2" customWidth="1"/>
    <col min="1564" max="1564" width="6.6640625" style="2" customWidth="1"/>
    <col min="1565" max="1565" width="4.33203125" style="2" customWidth="1"/>
    <col min="1566" max="1566" width="5" style="2" customWidth="1"/>
    <col min="1567" max="1569" width="4.5" style="2" customWidth="1"/>
    <col min="1570" max="1570" width="3.1640625" style="2" customWidth="1"/>
    <col min="1571" max="1575" width="3.5" style="2" customWidth="1"/>
    <col min="1576" max="1792" width="9.33203125" style="2"/>
    <col min="1793" max="1793" width="14.1640625" style="2" customWidth="1"/>
    <col min="1794" max="1794" width="6.6640625" style="2" customWidth="1"/>
    <col min="1795" max="1795" width="5.5" style="2" customWidth="1"/>
    <col min="1796" max="1797" width="3.1640625" style="2" customWidth="1"/>
    <col min="1798" max="1800" width="4.1640625" style="2" customWidth="1"/>
    <col min="1801" max="1801" width="5" style="2" customWidth="1"/>
    <col min="1802" max="1802" width="4.1640625" style="2" customWidth="1"/>
    <col min="1803" max="1803" width="5" style="2" customWidth="1"/>
    <col min="1804" max="1804" width="3.6640625" style="2" customWidth="1"/>
    <col min="1805" max="1805" width="5" style="2" customWidth="1"/>
    <col min="1806" max="1806" width="4.6640625" style="2" customWidth="1"/>
    <col min="1807" max="1807" width="4.1640625" style="2" customWidth="1"/>
    <col min="1808" max="1809" width="4.6640625" style="2" customWidth="1"/>
    <col min="1810" max="1810" width="4.1640625" style="2" customWidth="1"/>
    <col min="1811" max="1811" width="2.83203125" style="2" customWidth="1"/>
    <col min="1812" max="1812" width="2.1640625" style="2" customWidth="1"/>
    <col min="1813" max="1813" width="7" style="2" customWidth="1"/>
    <col min="1814" max="1814" width="4.1640625" style="2" customWidth="1"/>
    <col min="1815" max="1815" width="3.83203125" style="2" customWidth="1"/>
    <col min="1816" max="1816" width="2.6640625" style="2" customWidth="1"/>
    <col min="1817" max="1817" width="3.83203125" style="2" customWidth="1"/>
    <col min="1818" max="1818" width="7.5" style="2" customWidth="1"/>
    <col min="1819" max="1819" width="2.83203125" style="2" customWidth="1"/>
    <col min="1820" max="1820" width="6.6640625" style="2" customWidth="1"/>
    <col min="1821" max="1821" width="4.33203125" style="2" customWidth="1"/>
    <col min="1822" max="1822" width="5" style="2" customWidth="1"/>
    <col min="1823" max="1825" width="4.5" style="2" customWidth="1"/>
    <col min="1826" max="1826" width="3.1640625" style="2" customWidth="1"/>
    <col min="1827" max="1831" width="3.5" style="2" customWidth="1"/>
    <col min="1832" max="2048" width="9.33203125" style="2"/>
    <col min="2049" max="2049" width="14.1640625" style="2" customWidth="1"/>
    <col min="2050" max="2050" width="6.6640625" style="2" customWidth="1"/>
    <col min="2051" max="2051" width="5.5" style="2" customWidth="1"/>
    <col min="2052" max="2053" width="3.1640625" style="2" customWidth="1"/>
    <col min="2054" max="2056" width="4.1640625" style="2" customWidth="1"/>
    <col min="2057" max="2057" width="5" style="2" customWidth="1"/>
    <col min="2058" max="2058" width="4.1640625" style="2" customWidth="1"/>
    <col min="2059" max="2059" width="5" style="2" customWidth="1"/>
    <col min="2060" max="2060" width="3.6640625" style="2" customWidth="1"/>
    <col min="2061" max="2061" width="5" style="2" customWidth="1"/>
    <col min="2062" max="2062" width="4.6640625" style="2" customWidth="1"/>
    <col min="2063" max="2063" width="4.1640625" style="2" customWidth="1"/>
    <col min="2064" max="2065" width="4.6640625" style="2" customWidth="1"/>
    <col min="2066" max="2066" width="4.1640625" style="2" customWidth="1"/>
    <col min="2067" max="2067" width="2.83203125" style="2" customWidth="1"/>
    <col min="2068" max="2068" width="2.1640625" style="2" customWidth="1"/>
    <col min="2069" max="2069" width="7" style="2" customWidth="1"/>
    <col min="2070" max="2070" width="4.1640625" style="2" customWidth="1"/>
    <col min="2071" max="2071" width="3.83203125" style="2" customWidth="1"/>
    <col min="2072" max="2072" width="2.6640625" style="2" customWidth="1"/>
    <col min="2073" max="2073" width="3.83203125" style="2" customWidth="1"/>
    <col min="2074" max="2074" width="7.5" style="2" customWidth="1"/>
    <col min="2075" max="2075" width="2.83203125" style="2" customWidth="1"/>
    <col min="2076" max="2076" width="6.6640625" style="2" customWidth="1"/>
    <col min="2077" max="2077" width="4.33203125" style="2" customWidth="1"/>
    <col min="2078" max="2078" width="5" style="2" customWidth="1"/>
    <col min="2079" max="2081" width="4.5" style="2" customWidth="1"/>
    <col min="2082" max="2082" width="3.1640625" style="2" customWidth="1"/>
    <col min="2083" max="2087" width="3.5" style="2" customWidth="1"/>
    <col min="2088" max="2304" width="9.33203125" style="2"/>
    <col min="2305" max="2305" width="14.1640625" style="2" customWidth="1"/>
    <col min="2306" max="2306" width="6.6640625" style="2" customWidth="1"/>
    <col min="2307" max="2307" width="5.5" style="2" customWidth="1"/>
    <col min="2308" max="2309" width="3.1640625" style="2" customWidth="1"/>
    <col min="2310" max="2312" width="4.1640625" style="2" customWidth="1"/>
    <col min="2313" max="2313" width="5" style="2" customWidth="1"/>
    <col min="2314" max="2314" width="4.1640625" style="2" customWidth="1"/>
    <col min="2315" max="2315" width="5" style="2" customWidth="1"/>
    <col min="2316" max="2316" width="3.6640625" style="2" customWidth="1"/>
    <col min="2317" max="2317" width="5" style="2" customWidth="1"/>
    <col min="2318" max="2318" width="4.6640625" style="2" customWidth="1"/>
    <col min="2319" max="2319" width="4.1640625" style="2" customWidth="1"/>
    <col min="2320" max="2321" width="4.6640625" style="2" customWidth="1"/>
    <col min="2322" max="2322" width="4.1640625" style="2" customWidth="1"/>
    <col min="2323" max="2323" width="2.83203125" style="2" customWidth="1"/>
    <col min="2324" max="2324" width="2.1640625" style="2" customWidth="1"/>
    <col min="2325" max="2325" width="7" style="2" customWidth="1"/>
    <col min="2326" max="2326" width="4.1640625" style="2" customWidth="1"/>
    <col min="2327" max="2327" width="3.83203125" style="2" customWidth="1"/>
    <col min="2328" max="2328" width="2.6640625" style="2" customWidth="1"/>
    <col min="2329" max="2329" width="3.83203125" style="2" customWidth="1"/>
    <col min="2330" max="2330" width="7.5" style="2" customWidth="1"/>
    <col min="2331" max="2331" width="2.83203125" style="2" customWidth="1"/>
    <col min="2332" max="2332" width="6.6640625" style="2" customWidth="1"/>
    <col min="2333" max="2333" width="4.33203125" style="2" customWidth="1"/>
    <col min="2334" max="2334" width="5" style="2" customWidth="1"/>
    <col min="2335" max="2337" width="4.5" style="2" customWidth="1"/>
    <col min="2338" max="2338" width="3.1640625" style="2" customWidth="1"/>
    <col min="2339" max="2343" width="3.5" style="2" customWidth="1"/>
    <col min="2344" max="2560" width="9.33203125" style="2"/>
    <col min="2561" max="2561" width="14.1640625" style="2" customWidth="1"/>
    <col min="2562" max="2562" width="6.6640625" style="2" customWidth="1"/>
    <col min="2563" max="2563" width="5.5" style="2" customWidth="1"/>
    <col min="2564" max="2565" width="3.1640625" style="2" customWidth="1"/>
    <col min="2566" max="2568" width="4.1640625" style="2" customWidth="1"/>
    <col min="2569" max="2569" width="5" style="2" customWidth="1"/>
    <col min="2570" max="2570" width="4.1640625" style="2" customWidth="1"/>
    <col min="2571" max="2571" width="5" style="2" customWidth="1"/>
    <col min="2572" max="2572" width="3.6640625" style="2" customWidth="1"/>
    <col min="2573" max="2573" width="5" style="2" customWidth="1"/>
    <col min="2574" max="2574" width="4.6640625" style="2" customWidth="1"/>
    <col min="2575" max="2575" width="4.1640625" style="2" customWidth="1"/>
    <col min="2576" max="2577" width="4.6640625" style="2" customWidth="1"/>
    <col min="2578" max="2578" width="4.1640625" style="2" customWidth="1"/>
    <col min="2579" max="2579" width="2.83203125" style="2" customWidth="1"/>
    <col min="2580" max="2580" width="2.1640625" style="2" customWidth="1"/>
    <col min="2581" max="2581" width="7" style="2" customWidth="1"/>
    <col min="2582" max="2582" width="4.1640625" style="2" customWidth="1"/>
    <col min="2583" max="2583" width="3.83203125" style="2" customWidth="1"/>
    <col min="2584" max="2584" width="2.6640625" style="2" customWidth="1"/>
    <col min="2585" max="2585" width="3.83203125" style="2" customWidth="1"/>
    <col min="2586" max="2586" width="7.5" style="2" customWidth="1"/>
    <col min="2587" max="2587" width="2.83203125" style="2" customWidth="1"/>
    <col min="2588" max="2588" width="6.6640625" style="2" customWidth="1"/>
    <col min="2589" max="2589" width="4.33203125" style="2" customWidth="1"/>
    <col min="2590" max="2590" width="5" style="2" customWidth="1"/>
    <col min="2591" max="2593" width="4.5" style="2" customWidth="1"/>
    <col min="2594" max="2594" width="3.1640625" style="2" customWidth="1"/>
    <col min="2595" max="2599" width="3.5" style="2" customWidth="1"/>
    <col min="2600" max="2816" width="9.33203125" style="2"/>
    <col min="2817" max="2817" width="14.1640625" style="2" customWidth="1"/>
    <col min="2818" max="2818" width="6.6640625" style="2" customWidth="1"/>
    <col min="2819" max="2819" width="5.5" style="2" customWidth="1"/>
    <col min="2820" max="2821" width="3.1640625" style="2" customWidth="1"/>
    <col min="2822" max="2824" width="4.1640625" style="2" customWidth="1"/>
    <col min="2825" max="2825" width="5" style="2" customWidth="1"/>
    <col min="2826" max="2826" width="4.1640625" style="2" customWidth="1"/>
    <col min="2827" max="2827" width="5" style="2" customWidth="1"/>
    <col min="2828" max="2828" width="3.6640625" style="2" customWidth="1"/>
    <col min="2829" max="2829" width="5" style="2" customWidth="1"/>
    <col min="2830" max="2830" width="4.6640625" style="2" customWidth="1"/>
    <col min="2831" max="2831" width="4.1640625" style="2" customWidth="1"/>
    <col min="2832" max="2833" width="4.6640625" style="2" customWidth="1"/>
    <col min="2834" max="2834" width="4.1640625" style="2" customWidth="1"/>
    <col min="2835" max="2835" width="2.83203125" style="2" customWidth="1"/>
    <col min="2836" max="2836" width="2.1640625" style="2" customWidth="1"/>
    <col min="2837" max="2837" width="7" style="2" customWidth="1"/>
    <col min="2838" max="2838" width="4.1640625" style="2" customWidth="1"/>
    <col min="2839" max="2839" width="3.83203125" style="2" customWidth="1"/>
    <col min="2840" max="2840" width="2.6640625" style="2" customWidth="1"/>
    <col min="2841" max="2841" width="3.83203125" style="2" customWidth="1"/>
    <col min="2842" max="2842" width="7.5" style="2" customWidth="1"/>
    <col min="2843" max="2843" width="2.83203125" style="2" customWidth="1"/>
    <col min="2844" max="2844" width="6.6640625" style="2" customWidth="1"/>
    <col min="2845" max="2845" width="4.33203125" style="2" customWidth="1"/>
    <col min="2846" max="2846" width="5" style="2" customWidth="1"/>
    <col min="2847" max="2849" width="4.5" style="2" customWidth="1"/>
    <col min="2850" max="2850" width="3.1640625" style="2" customWidth="1"/>
    <col min="2851" max="2855" width="3.5" style="2" customWidth="1"/>
    <col min="2856" max="3072" width="9.33203125" style="2"/>
    <col min="3073" max="3073" width="14.1640625" style="2" customWidth="1"/>
    <col min="3074" max="3074" width="6.6640625" style="2" customWidth="1"/>
    <col min="3075" max="3075" width="5.5" style="2" customWidth="1"/>
    <col min="3076" max="3077" width="3.1640625" style="2" customWidth="1"/>
    <col min="3078" max="3080" width="4.1640625" style="2" customWidth="1"/>
    <col min="3081" max="3081" width="5" style="2" customWidth="1"/>
    <col min="3082" max="3082" width="4.1640625" style="2" customWidth="1"/>
    <col min="3083" max="3083" width="5" style="2" customWidth="1"/>
    <col min="3084" max="3084" width="3.6640625" style="2" customWidth="1"/>
    <col min="3085" max="3085" width="5" style="2" customWidth="1"/>
    <col min="3086" max="3086" width="4.6640625" style="2" customWidth="1"/>
    <col min="3087" max="3087" width="4.1640625" style="2" customWidth="1"/>
    <col min="3088" max="3089" width="4.6640625" style="2" customWidth="1"/>
    <col min="3090" max="3090" width="4.1640625" style="2" customWidth="1"/>
    <col min="3091" max="3091" width="2.83203125" style="2" customWidth="1"/>
    <col min="3092" max="3092" width="2.1640625" style="2" customWidth="1"/>
    <col min="3093" max="3093" width="7" style="2" customWidth="1"/>
    <col min="3094" max="3094" width="4.1640625" style="2" customWidth="1"/>
    <col min="3095" max="3095" width="3.83203125" style="2" customWidth="1"/>
    <col min="3096" max="3096" width="2.6640625" style="2" customWidth="1"/>
    <col min="3097" max="3097" width="3.83203125" style="2" customWidth="1"/>
    <col min="3098" max="3098" width="7.5" style="2" customWidth="1"/>
    <col min="3099" max="3099" width="2.83203125" style="2" customWidth="1"/>
    <col min="3100" max="3100" width="6.6640625" style="2" customWidth="1"/>
    <col min="3101" max="3101" width="4.33203125" style="2" customWidth="1"/>
    <col min="3102" max="3102" width="5" style="2" customWidth="1"/>
    <col min="3103" max="3105" width="4.5" style="2" customWidth="1"/>
    <col min="3106" max="3106" width="3.1640625" style="2" customWidth="1"/>
    <col min="3107" max="3111" width="3.5" style="2" customWidth="1"/>
    <col min="3112" max="3328" width="9.33203125" style="2"/>
    <col min="3329" max="3329" width="14.1640625" style="2" customWidth="1"/>
    <col min="3330" max="3330" width="6.6640625" style="2" customWidth="1"/>
    <col min="3331" max="3331" width="5.5" style="2" customWidth="1"/>
    <col min="3332" max="3333" width="3.1640625" style="2" customWidth="1"/>
    <col min="3334" max="3336" width="4.1640625" style="2" customWidth="1"/>
    <col min="3337" max="3337" width="5" style="2" customWidth="1"/>
    <col min="3338" max="3338" width="4.1640625" style="2" customWidth="1"/>
    <col min="3339" max="3339" width="5" style="2" customWidth="1"/>
    <col min="3340" max="3340" width="3.6640625" style="2" customWidth="1"/>
    <col min="3341" max="3341" width="5" style="2" customWidth="1"/>
    <col min="3342" max="3342" width="4.6640625" style="2" customWidth="1"/>
    <col min="3343" max="3343" width="4.1640625" style="2" customWidth="1"/>
    <col min="3344" max="3345" width="4.6640625" style="2" customWidth="1"/>
    <col min="3346" max="3346" width="4.1640625" style="2" customWidth="1"/>
    <col min="3347" max="3347" width="2.83203125" style="2" customWidth="1"/>
    <col min="3348" max="3348" width="2.1640625" style="2" customWidth="1"/>
    <col min="3349" max="3349" width="7" style="2" customWidth="1"/>
    <col min="3350" max="3350" width="4.1640625" style="2" customWidth="1"/>
    <col min="3351" max="3351" width="3.83203125" style="2" customWidth="1"/>
    <col min="3352" max="3352" width="2.6640625" style="2" customWidth="1"/>
    <col min="3353" max="3353" width="3.83203125" style="2" customWidth="1"/>
    <col min="3354" max="3354" width="7.5" style="2" customWidth="1"/>
    <col min="3355" max="3355" width="2.83203125" style="2" customWidth="1"/>
    <col min="3356" max="3356" width="6.6640625" style="2" customWidth="1"/>
    <col min="3357" max="3357" width="4.33203125" style="2" customWidth="1"/>
    <col min="3358" max="3358" width="5" style="2" customWidth="1"/>
    <col min="3359" max="3361" width="4.5" style="2" customWidth="1"/>
    <col min="3362" max="3362" width="3.1640625" style="2" customWidth="1"/>
    <col min="3363" max="3367" width="3.5" style="2" customWidth="1"/>
    <col min="3368" max="3584" width="9.33203125" style="2"/>
    <col min="3585" max="3585" width="14.1640625" style="2" customWidth="1"/>
    <col min="3586" max="3586" width="6.6640625" style="2" customWidth="1"/>
    <col min="3587" max="3587" width="5.5" style="2" customWidth="1"/>
    <col min="3588" max="3589" width="3.1640625" style="2" customWidth="1"/>
    <col min="3590" max="3592" width="4.1640625" style="2" customWidth="1"/>
    <col min="3593" max="3593" width="5" style="2" customWidth="1"/>
    <col min="3594" max="3594" width="4.1640625" style="2" customWidth="1"/>
    <col min="3595" max="3595" width="5" style="2" customWidth="1"/>
    <col min="3596" max="3596" width="3.6640625" style="2" customWidth="1"/>
    <col min="3597" max="3597" width="5" style="2" customWidth="1"/>
    <col min="3598" max="3598" width="4.6640625" style="2" customWidth="1"/>
    <col min="3599" max="3599" width="4.1640625" style="2" customWidth="1"/>
    <col min="3600" max="3601" width="4.6640625" style="2" customWidth="1"/>
    <col min="3602" max="3602" width="4.1640625" style="2" customWidth="1"/>
    <col min="3603" max="3603" width="2.83203125" style="2" customWidth="1"/>
    <col min="3604" max="3604" width="2.1640625" style="2" customWidth="1"/>
    <col min="3605" max="3605" width="7" style="2" customWidth="1"/>
    <col min="3606" max="3606" width="4.1640625" style="2" customWidth="1"/>
    <col min="3607" max="3607" width="3.83203125" style="2" customWidth="1"/>
    <col min="3608" max="3608" width="2.6640625" style="2" customWidth="1"/>
    <col min="3609" max="3609" width="3.83203125" style="2" customWidth="1"/>
    <col min="3610" max="3610" width="7.5" style="2" customWidth="1"/>
    <col min="3611" max="3611" width="2.83203125" style="2" customWidth="1"/>
    <col min="3612" max="3612" width="6.6640625" style="2" customWidth="1"/>
    <col min="3613" max="3613" width="4.33203125" style="2" customWidth="1"/>
    <col min="3614" max="3614" width="5" style="2" customWidth="1"/>
    <col min="3615" max="3617" width="4.5" style="2" customWidth="1"/>
    <col min="3618" max="3618" width="3.1640625" style="2" customWidth="1"/>
    <col min="3619" max="3623" width="3.5" style="2" customWidth="1"/>
    <col min="3624" max="3840" width="9.33203125" style="2"/>
    <col min="3841" max="3841" width="14.1640625" style="2" customWidth="1"/>
    <col min="3842" max="3842" width="6.6640625" style="2" customWidth="1"/>
    <col min="3843" max="3843" width="5.5" style="2" customWidth="1"/>
    <col min="3844" max="3845" width="3.1640625" style="2" customWidth="1"/>
    <col min="3846" max="3848" width="4.1640625" style="2" customWidth="1"/>
    <col min="3849" max="3849" width="5" style="2" customWidth="1"/>
    <col min="3850" max="3850" width="4.1640625" style="2" customWidth="1"/>
    <col min="3851" max="3851" width="5" style="2" customWidth="1"/>
    <col min="3852" max="3852" width="3.6640625" style="2" customWidth="1"/>
    <col min="3853" max="3853" width="5" style="2" customWidth="1"/>
    <col min="3854" max="3854" width="4.6640625" style="2" customWidth="1"/>
    <col min="3855" max="3855" width="4.1640625" style="2" customWidth="1"/>
    <col min="3856" max="3857" width="4.6640625" style="2" customWidth="1"/>
    <col min="3858" max="3858" width="4.1640625" style="2" customWidth="1"/>
    <col min="3859" max="3859" width="2.83203125" style="2" customWidth="1"/>
    <col min="3860" max="3860" width="2.1640625" style="2" customWidth="1"/>
    <col min="3861" max="3861" width="7" style="2" customWidth="1"/>
    <col min="3862" max="3862" width="4.1640625" style="2" customWidth="1"/>
    <col min="3863" max="3863" width="3.83203125" style="2" customWidth="1"/>
    <col min="3864" max="3864" width="2.6640625" style="2" customWidth="1"/>
    <col min="3865" max="3865" width="3.83203125" style="2" customWidth="1"/>
    <col min="3866" max="3866" width="7.5" style="2" customWidth="1"/>
    <col min="3867" max="3867" width="2.83203125" style="2" customWidth="1"/>
    <col min="3868" max="3868" width="6.6640625" style="2" customWidth="1"/>
    <col min="3869" max="3869" width="4.33203125" style="2" customWidth="1"/>
    <col min="3870" max="3870" width="5" style="2" customWidth="1"/>
    <col min="3871" max="3873" width="4.5" style="2" customWidth="1"/>
    <col min="3874" max="3874" width="3.1640625" style="2" customWidth="1"/>
    <col min="3875" max="3879" width="3.5" style="2" customWidth="1"/>
    <col min="3880" max="4096" width="9.33203125" style="2"/>
    <col min="4097" max="4097" width="14.1640625" style="2" customWidth="1"/>
    <col min="4098" max="4098" width="6.6640625" style="2" customWidth="1"/>
    <col min="4099" max="4099" width="5.5" style="2" customWidth="1"/>
    <col min="4100" max="4101" width="3.1640625" style="2" customWidth="1"/>
    <col min="4102" max="4104" width="4.1640625" style="2" customWidth="1"/>
    <col min="4105" max="4105" width="5" style="2" customWidth="1"/>
    <col min="4106" max="4106" width="4.1640625" style="2" customWidth="1"/>
    <col min="4107" max="4107" width="5" style="2" customWidth="1"/>
    <col min="4108" max="4108" width="3.6640625" style="2" customWidth="1"/>
    <col min="4109" max="4109" width="5" style="2" customWidth="1"/>
    <col min="4110" max="4110" width="4.6640625" style="2" customWidth="1"/>
    <col min="4111" max="4111" width="4.1640625" style="2" customWidth="1"/>
    <col min="4112" max="4113" width="4.6640625" style="2" customWidth="1"/>
    <col min="4114" max="4114" width="4.1640625" style="2" customWidth="1"/>
    <col min="4115" max="4115" width="2.83203125" style="2" customWidth="1"/>
    <col min="4116" max="4116" width="2.1640625" style="2" customWidth="1"/>
    <col min="4117" max="4117" width="7" style="2" customWidth="1"/>
    <col min="4118" max="4118" width="4.1640625" style="2" customWidth="1"/>
    <col min="4119" max="4119" width="3.83203125" style="2" customWidth="1"/>
    <col min="4120" max="4120" width="2.6640625" style="2" customWidth="1"/>
    <col min="4121" max="4121" width="3.83203125" style="2" customWidth="1"/>
    <col min="4122" max="4122" width="7.5" style="2" customWidth="1"/>
    <col min="4123" max="4123" width="2.83203125" style="2" customWidth="1"/>
    <col min="4124" max="4124" width="6.6640625" style="2" customWidth="1"/>
    <col min="4125" max="4125" width="4.33203125" style="2" customWidth="1"/>
    <col min="4126" max="4126" width="5" style="2" customWidth="1"/>
    <col min="4127" max="4129" width="4.5" style="2" customWidth="1"/>
    <col min="4130" max="4130" width="3.1640625" style="2" customWidth="1"/>
    <col min="4131" max="4135" width="3.5" style="2" customWidth="1"/>
    <col min="4136" max="4352" width="9.33203125" style="2"/>
    <col min="4353" max="4353" width="14.1640625" style="2" customWidth="1"/>
    <col min="4354" max="4354" width="6.6640625" style="2" customWidth="1"/>
    <col min="4355" max="4355" width="5.5" style="2" customWidth="1"/>
    <col min="4356" max="4357" width="3.1640625" style="2" customWidth="1"/>
    <col min="4358" max="4360" width="4.1640625" style="2" customWidth="1"/>
    <col min="4361" max="4361" width="5" style="2" customWidth="1"/>
    <col min="4362" max="4362" width="4.1640625" style="2" customWidth="1"/>
    <col min="4363" max="4363" width="5" style="2" customWidth="1"/>
    <col min="4364" max="4364" width="3.6640625" style="2" customWidth="1"/>
    <col min="4365" max="4365" width="5" style="2" customWidth="1"/>
    <col min="4366" max="4366" width="4.6640625" style="2" customWidth="1"/>
    <col min="4367" max="4367" width="4.1640625" style="2" customWidth="1"/>
    <col min="4368" max="4369" width="4.6640625" style="2" customWidth="1"/>
    <col min="4370" max="4370" width="4.1640625" style="2" customWidth="1"/>
    <col min="4371" max="4371" width="2.83203125" style="2" customWidth="1"/>
    <col min="4372" max="4372" width="2.1640625" style="2" customWidth="1"/>
    <col min="4373" max="4373" width="7" style="2" customWidth="1"/>
    <col min="4374" max="4374" width="4.1640625" style="2" customWidth="1"/>
    <col min="4375" max="4375" width="3.83203125" style="2" customWidth="1"/>
    <col min="4376" max="4376" width="2.6640625" style="2" customWidth="1"/>
    <col min="4377" max="4377" width="3.83203125" style="2" customWidth="1"/>
    <col min="4378" max="4378" width="7.5" style="2" customWidth="1"/>
    <col min="4379" max="4379" width="2.83203125" style="2" customWidth="1"/>
    <col min="4380" max="4380" width="6.6640625" style="2" customWidth="1"/>
    <col min="4381" max="4381" width="4.33203125" style="2" customWidth="1"/>
    <col min="4382" max="4382" width="5" style="2" customWidth="1"/>
    <col min="4383" max="4385" width="4.5" style="2" customWidth="1"/>
    <col min="4386" max="4386" width="3.1640625" style="2" customWidth="1"/>
    <col min="4387" max="4391" width="3.5" style="2" customWidth="1"/>
    <col min="4392" max="4608" width="9.33203125" style="2"/>
    <col min="4609" max="4609" width="14.1640625" style="2" customWidth="1"/>
    <col min="4610" max="4610" width="6.6640625" style="2" customWidth="1"/>
    <col min="4611" max="4611" width="5.5" style="2" customWidth="1"/>
    <col min="4612" max="4613" width="3.1640625" style="2" customWidth="1"/>
    <col min="4614" max="4616" width="4.1640625" style="2" customWidth="1"/>
    <col min="4617" max="4617" width="5" style="2" customWidth="1"/>
    <col min="4618" max="4618" width="4.1640625" style="2" customWidth="1"/>
    <col min="4619" max="4619" width="5" style="2" customWidth="1"/>
    <col min="4620" max="4620" width="3.6640625" style="2" customWidth="1"/>
    <col min="4621" max="4621" width="5" style="2" customWidth="1"/>
    <col min="4622" max="4622" width="4.6640625" style="2" customWidth="1"/>
    <col min="4623" max="4623" width="4.1640625" style="2" customWidth="1"/>
    <col min="4624" max="4625" width="4.6640625" style="2" customWidth="1"/>
    <col min="4626" max="4626" width="4.1640625" style="2" customWidth="1"/>
    <col min="4627" max="4627" width="2.83203125" style="2" customWidth="1"/>
    <col min="4628" max="4628" width="2.1640625" style="2" customWidth="1"/>
    <col min="4629" max="4629" width="7" style="2" customWidth="1"/>
    <col min="4630" max="4630" width="4.1640625" style="2" customWidth="1"/>
    <col min="4631" max="4631" width="3.83203125" style="2" customWidth="1"/>
    <col min="4632" max="4632" width="2.6640625" style="2" customWidth="1"/>
    <col min="4633" max="4633" width="3.83203125" style="2" customWidth="1"/>
    <col min="4634" max="4634" width="7.5" style="2" customWidth="1"/>
    <col min="4635" max="4635" width="2.83203125" style="2" customWidth="1"/>
    <col min="4636" max="4636" width="6.6640625" style="2" customWidth="1"/>
    <col min="4637" max="4637" width="4.33203125" style="2" customWidth="1"/>
    <col min="4638" max="4638" width="5" style="2" customWidth="1"/>
    <col min="4639" max="4641" width="4.5" style="2" customWidth="1"/>
    <col min="4642" max="4642" width="3.1640625" style="2" customWidth="1"/>
    <col min="4643" max="4647" width="3.5" style="2" customWidth="1"/>
    <col min="4648" max="4864" width="9.33203125" style="2"/>
    <col min="4865" max="4865" width="14.1640625" style="2" customWidth="1"/>
    <col min="4866" max="4866" width="6.6640625" style="2" customWidth="1"/>
    <col min="4867" max="4867" width="5.5" style="2" customWidth="1"/>
    <col min="4868" max="4869" width="3.1640625" style="2" customWidth="1"/>
    <col min="4870" max="4872" width="4.1640625" style="2" customWidth="1"/>
    <col min="4873" max="4873" width="5" style="2" customWidth="1"/>
    <col min="4874" max="4874" width="4.1640625" style="2" customWidth="1"/>
    <col min="4875" max="4875" width="5" style="2" customWidth="1"/>
    <col min="4876" max="4876" width="3.6640625" style="2" customWidth="1"/>
    <col min="4877" max="4877" width="5" style="2" customWidth="1"/>
    <col min="4878" max="4878" width="4.6640625" style="2" customWidth="1"/>
    <col min="4879" max="4879" width="4.1640625" style="2" customWidth="1"/>
    <col min="4880" max="4881" width="4.6640625" style="2" customWidth="1"/>
    <col min="4882" max="4882" width="4.1640625" style="2" customWidth="1"/>
    <col min="4883" max="4883" width="2.83203125" style="2" customWidth="1"/>
    <col min="4884" max="4884" width="2.1640625" style="2" customWidth="1"/>
    <col min="4885" max="4885" width="7" style="2" customWidth="1"/>
    <col min="4886" max="4886" width="4.1640625" style="2" customWidth="1"/>
    <col min="4887" max="4887" width="3.83203125" style="2" customWidth="1"/>
    <col min="4888" max="4888" width="2.6640625" style="2" customWidth="1"/>
    <col min="4889" max="4889" width="3.83203125" style="2" customWidth="1"/>
    <col min="4890" max="4890" width="7.5" style="2" customWidth="1"/>
    <col min="4891" max="4891" width="2.83203125" style="2" customWidth="1"/>
    <col min="4892" max="4892" width="6.6640625" style="2" customWidth="1"/>
    <col min="4893" max="4893" width="4.33203125" style="2" customWidth="1"/>
    <col min="4894" max="4894" width="5" style="2" customWidth="1"/>
    <col min="4895" max="4897" width="4.5" style="2" customWidth="1"/>
    <col min="4898" max="4898" width="3.1640625" style="2" customWidth="1"/>
    <col min="4899" max="4903" width="3.5" style="2" customWidth="1"/>
    <col min="4904" max="5120" width="9.33203125" style="2"/>
    <col min="5121" max="5121" width="14.1640625" style="2" customWidth="1"/>
    <col min="5122" max="5122" width="6.6640625" style="2" customWidth="1"/>
    <col min="5123" max="5123" width="5.5" style="2" customWidth="1"/>
    <col min="5124" max="5125" width="3.1640625" style="2" customWidth="1"/>
    <col min="5126" max="5128" width="4.1640625" style="2" customWidth="1"/>
    <col min="5129" max="5129" width="5" style="2" customWidth="1"/>
    <col min="5130" max="5130" width="4.1640625" style="2" customWidth="1"/>
    <col min="5131" max="5131" width="5" style="2" customWidth="1"/>
    <col min="5132" max="5132" width="3.6640625" style="2" customWidth="1"/>
    <col min="5133" max="5133" width="5" style="2" customWidth="1"/>
    <col min="5134" max="5134" width="4.6640625" style="2" customWidth="1"/>
    <col min="5135" max="5135" width="4.1640625" style="2" customWidth="1"/>
    <col min="5136" max="5137" width="4.6640625" style="2" customWidth="1"/>
    <col min="5138" max="5138" width="4.1640625" style="2" customWidth="1"/>
    <col min="5139" max="5139" width="2.83203125" style="2" customWidth="1"/>
    <col min="5140" max="5140" width="2.1640625" style="2" customWidth="1"/>
    <col min="5141" max="5141" width="7" style="2" customWidth="1"/>
    <col min="5142" max="5142" width="4.1640625" style="2" customWidth="1"/>
    <col min="5143" max="5143" width="3.83203125" style="2" customWidth="1"/>
    <col min="5144" max="5144" width="2.6640625" style="2" customWidth="1"/>
    <col min="5145" max="5145" width="3.83203125" style="2" customWidth="1"/>
    <col min="5146" max="5146" width="7.5" style="2" customWidth="1"/>
    <col min="5147" max="5147" width="2.83203125" style="2" customWidth="1"/>
    <col min="5148" max="5148" width="6.6640625" style="2" customWidth="1"/>
    <col min="5149" max="5149" width="4.33203125" style="2" customWidth="1"/>
    <col min="5150" max="5150" width="5" style="2" customWidth="1"/>
    <col min="5151" max="5153" width="4.5" style="2" customWidth="1"/>
    <col min="5154" max="5154" width="3.1640625" style="2" customWidth="1"/>
    <col min="5155" max="5159" width="3.5" style="2" customWidth="1"/>
    <col min="5160" max="5376" width="9.33203125" style="2"/>
    <col min="5377" max="5377" width="14.1640625" style="2" customWidth="1"/>
    <col min="5378" max="5378" width="6.6640625" style="2" customWidth="1"/>
    <col min="5379" max="5379" width="5.5" style="2" customWidth="1"/>
    <col min="5380" max="5381" width="3.1640625" style="2" customWidth="1"/>
    <col min="5382" max="5384" width="4.1640625" style="2" customWidth="1"/>
    <col min="5385" max="5385" width="5" style="2" customWidth="1"/>
    <col min="5386" max="5386" width="4.1640625" style="2" customWidth="1"/>
    <col min="5387" max="5387" width="5" style="2" customWidth="1"/>
    <col min="5388" max="5388" width="3.6640625" style="2" customWidth="1"/>
    <col min="5389" max="5389" width="5" style="2" customWidth="1"/>
    <col min="5390" max="5390" width="4.6640625" style="2" customWidth="1"/>
    <col min="5391" max="5391" width="4.1640625" style="2" customWidth="1"/>
    <col min="5392" max="5393" width="4.6640625" style="2" customWidth="1"/>
    <col min="5394" max="5394" width="4.1640625" style="2" customWidth="1"/>
    <col min="5395" max="5395" width="2.83203125" style="2" customWidth="1"/>
    <col min="5396" max="5396" width="2.1640625" style="2" customWidth="1"/>
    <col min="5397" max="5397" width="7" style="2" customWidth="1"/>
    <col min="5398" max="5398" width="4.1640625" style="2" customWidth="1"/>
    <col min="5399" max="5399" width="3.83203125" style="2" customWidth="1"/>
    <col min="5400" max="5400" width="2.6640625" style="2" customWidth="1"/>
    <col min="5401" max="5401" width="3.83203125" style="2" customWidth="1"/>
    <col min="5402" max="5402" width="7.5" style="2" customWidth="1"/>
    <col min="5403" max="5403" width="2.83203125" style="2" customWidth="1"/>
    <col min="5404" max="5404" width="6.6640625" style="2" customWidth="1"/>
    <col min="5405" max="5405" width="4.33203125" style="2" customWidth="1"/>
    <col min="5406" max="5406" width="5" style="2" customWidth="1"/>
    <col min="5407" max="5409" width="4.5" style="2" customWidth="1"/>
    <col min="5410" max="5410" width="3.1640625" style="2" customWidth="1"/>
    <col min="5411" max="5415" width="3.5" style="2" customWidth="1"/>
    <col min="5416" max="5632" width="9.33203125" style="2"/>
    <col min="5633" max="5633" width="14.1640625" style="2" customWidth="1"/>
    <col min="5634" max="5634" width="6.6640625" style="2" customWidth="1"/>
    <col min="5635" max="5635" width="5.5" style="2" customWidth="1"/>
    <col min="5636" max="5637" width="3.1640625" style="2" customWidth="1"/>
    <col min="5638" max="5640" width="4.1640625" style="2" customWidth="1"/>
    <col min="5641" max="5641" width="5" style="2" customWidth="1"/>
    <col min="5642" max="5642" width="4.1640625" style="2" customWidth="1"/>
    <col min="5643" max="5643" width="5" style="2" customWidth="1"/>
    <col min="5644" max="5644" width="3.6640625" style="2" customWidth="1"/>
    <col min="5645" max="5645" width="5" style="2" customWidth="1"/>
    <col min="5646" max="5646" width="4.6640625" style="2" customWidth="1"/>
    <col min="5647" max="5647" width="4.1640625" style="2" customWidth="1"/>
    <col min="5648" max="5649" width="4.6640625" style="2" customWidth="1"/>
    <col min="5650" max="5650" width="4.1640625" style="2" customWidth="1"/>
    <col min="5651" max="5651" width="2.83203125" style="2" customWidth="1"/>
    <col min="5652" max="5652" width="2.1640625" style="2" customWidth="1"/>
    <col min="5653" max="5653" width="7" style="2" customWidth="1"/>
    <col min="5654" max="5654" width="4.1640625" style="2" customWidth="1"/>
    <col min="5655" max="5655" width="3.83203125" style="2" customWidth="1"/>
    <col min="5656" max="5656" width="2.6640625" style="2" customWidth="1"/>
    <col min="5657" max="5657" width="3.83203125" style="2" customWidth="1"/>
    <col min="5658" max="5658" width="7.5" style="2" customWidth="1"/>
    <col min="5659" max="5659" width="2.83203125" style="2" customWidth="1"/>
    <col min="5660" max="5660" width="6.6640625" style="2" customWidth="1"/>
    <col min="5661" max="5661" width="4.33203125" style="2" customWidth="1"/>
    <col min="5662" max="5662" width="5" style="2" customWidth="1"/>
    <col min="5663" max="5665" width="4.5" style="2" customWidth="1"/>
    <col min="5666" max="5666" width="3.1640625" style="2" customWidth="1"/>
    <col min="5667" max="5671" width="3.5" style="2" customWidth="1"/>
    <col min="5672" max="5888" width="9.33203125" style="2"/>
    <col min="5889" max="5889" width="14.1640625" style="2" customWidth="1"/>
    <col min="5890" max="5890" width="6.6640625" style="2" customWidth="1"/>
    <col min="5891" max="5891" width="5.5" style="2" customWidth="1"/>
    <col min="5892" max="5893" width="3.1640625" style="2" customWidth="1"/>
    <col min="5894" max="5896" width="4.1640625" style="2" customWidth="1"/>
    <col min="5897" max="5897" width="5" style="2" customWidth="1"/>
    <col min="5898" max="5898" width="4.1640625" style="2" customWidth="1"/>
    <col min="5899" max="5899" width="5" style="2" customWidth="1"/>
    <col min="5900" max="5900" width="3.6640625" style="2" customWidth="1"/>
    <col min="5901" max="5901" width="5" style="2" customWidth="1"/>
    <col min="5902" max="5902" width="4.6640625" style="2" customWidth="1"/>
    <col min="5903" max="5903" width="4.1640625" style="2" customWidth="1"/>
    <col min="5904" max="5905" width="4.6640625" style="2" customWidth="1"/>
    <col min="5906" max="5906" width="4.1640625" style="2" customWidth="1"/>
    <col min="5907" max="5907" width="2.83203125" style="2" customWidth="1"/>
    <col min="5908" max="5908" width="2.1640625" style="2" customWidth="1"/>
    <col min="5909" max="5909" width="7" style="2" customWidth="1"/>
    <col min="5910" max="5910" width="4.1640625" style="2" customWidth="1"/>
    <col min="5911" max="5911" width="3.83203125" style="2" customWidth="1"/>
    <col min="5912" max="5912" width="2.6640625" style="2" customWidth="1"/>
    <col min="5913" max="5913" width="3.83203125" style="2" customWidth="1"/>
    <col min="5914" max="5914" width="7.5" style="2" customWidth="1"/>
    <col min="5915" max="5915" width="2.83203125" style="2" customWidth="1"/>
    <col min="5916" max="5916" width="6.6640625" style="2" customWidth="1"/>
    <col min="5917" max="5917" width="4.33203125" style="2" customWidth="1"/>
    <col min="5918" max="5918" width="5" style="2" customWidth="1"/>
    <col min="5919" max="5921" width="4.5" style="2" customWidth="1"/>
    <col min="5922" max="5922" width="3.1640625" style="2" customWidth="1"/>
    <col min="5923" max="5927" width="3.5" style="2" customWidth="1"/>
    <col min="5928" max="6144" width="9.33203125" style="2"/>
    <col min="6145" max="6145" width="14.1640625" style="2" customWidth="1"/>
    <col min="6146" max="6146" width="6.6640625" style="2" customWidth="1"/>
    <col min="6147" max="6147" width="5.5" style="2" customWidth="1"/>
    <col min="6148" max="6149" width="3.1640625" style="2" customWidth="1"/>
    <col min="6150" max="6152" width="4.1640625" style="2" customWidth="1"/>
    <col min="6153" max="6153" width="5" style="2" customWidth="1"/>
    <col min="6154" max="6154" width="4.1640625" style="2" customWidth="1"/>
    <col min="6155" max="6155" width="5" style="2" customWidth="1"/>
    <col min="6156" max="6156" width="3.6640625" style="2" customWidth="1"/>
    <col min="6157" max="6157" width="5" style="2" customWidth="1"/>
    <col min="6158" max="6158" width="4.6640625" style="2" customWidth="1"/>
    <col min="6159" max="6159" width="4.1640625" style="2" customWidth="1"/>
    <col min="6160" max="6161" width="4.6640625" style="2" customWidth="1"/>
    <col min="6162" max="6162" width="4.1640625" style="2" customWidth="1"/>
    <col min="6163" max="6163" width="2.83203125" style="2" customWidth="1"/>
    <col min="6164" max="6164" width="2.1640625" style="2" customWidth="1"/>
    <col min="6165" max="6165" width="7" style="2" customWidth="1"/>
    <col min="6166" max="6166" width="4.1640625" style="2" customWidth="1"/>
    <col min="6167" max="6167" width="3.83203125" style="2" customWidth="1"/>
    <col min="6168" max="6168" width="2.6640625" style="2" customWidth="1"/>
    <col min="6169" max="6169" width="3.83203125" style="2" customWidth="1"/>
    <col min="6170" max="6170" width="7.5" style="2" customWidth="1"/>
    <col min="6171" max="6171" width="2.83203125" style="2" customWidth="1"/>
    <col min="6172" max="6172" width="6.6640625" style="2" customWidth="1"/>
    <col min="6173" max="6173" width="4.33203125" style="2" customWidth="1"/>
    <col min="6174" max="6174" width="5" style="2" customWidth="1"/>
    <col min="6175" max="6177" width="4.5" style="2" customWidth="1"/>
    <col min="6178" max="6178" width="3.1640625" style="2" customWidth="1"/>
    <col min="6179" max="6183" width="3.5" style="2" customWidth="1"/>
    <col min="6184" max="6400" width="9.33203125" style="2"/>
    <col min="6401" max="6401" width="14.1640625" style="2" customWidth="1"/>
    <col min="6402" max="6402" width="6.6640625" style="2" customWidth="1"/>
    <col min="6403" max="6403" width="5.5" style="2" customWidth="1"/>
    <col min="6404" max="6405" width="3.1640625" style="2" customWidth="1"/>
    <col min="6406" max="6408" width="4.1640625" style="2" customWidth="1"/>
    <col min="6409" max="6409" width="5" style="2" customWidth="1"/>
    <col min="6410" max="6410" width="4.1640625" style="2" customWidth="1"/>
    <col min="6411" max="6411" width="5" style="2" customWidth="1"/>
    <col min="6412" max="6412" width="3.6640625" style="2" customWidth="1"/>
    <col min="6413" max="6413" width="5" style="2" customWidth="1"/>
    <col min="6414" max="6414" width="4.6640625" style="2" customWidth="1"/>
    <col min="6415" max="6415" width="4.1640625" style="2" customWidth="1"/>
    <col min="6416" max="6417" width="4.6640625" style="2" customWidth="1"/>
    <col min="6418" max="6418" width="4.1640625" style="2" customWidth="1"/>
    <col min="6419" max="6419" width="2.83203125" style="2" customWidth="1"/>
    <col min="6420" max="6420" width="2.1640625" style="2" customWidth="1"/>
    <col min="6421" max="6421" width="7" style="2" customWidth="1"/>
    <col min="6422" max="6422" width="4.1640625" style="2" customWidth="1"/>
    <col min="6423" max="6423" width="3.83203125" style="2" customWidth="1"/>
    <col min="6424" max="6424" width="2.6640625" style="2" customWidth="1"/>
    <col min="6425" max="6425" width="3.83203125" style="2" customWidth="1"/>
    <col min="6426" max="6426" width="7.5" style="2" customWidth="1"/>
    <col min="6427" max="6427" width="2.83203125" style="2" customWidth="1"/>
    <col min="6428" max="6428" width="6.6640625" style="2" customWidth="1"/>
    <col min="6429" max="6429" width="4.33203125" style="2" customWidth="1"/>
    <col min="6430" max="6430" width="5" style="2" customWidth="1"/>
    <col min="6431" max="6433" width="4.5" style="2" customWidth="1"/>
    <col min="6434" max="6434" width="3.1640625" style="2" customWidth="1"/>
    <col min="6435" max="6439" width="3.5" style="2" customWidth="1"/>
    <col min="6440" max="6656" width="9.33203125" style="2"/>
    <col min="6657" max="6657" width="14.1640625" style="2" customWidth="1"/>
    <col min="6658" max="6658" width="6.6640625" style="2" customWidth="1"/>
    <col min="6659" max="6659" width="5.5" style="2" customWidth="1"/>
    <col min="6660" max="6661" width="3.1640625" style="2" customWidth="1"/>
    <col min="6662" max="6664" width="4.1640625" style="2" customWidth="1"/>
    <col min="6665" max="6665" width="5" style="2" customWidth="1"/>
    <col min="6666" max="6666" width="4.1640625" style="2" customWidth="1"/>
    <col min="6667" max="6667" width="5" style="2" customWidth="1"/>
    <col min="6668" max="6668" width="3.6640625" style="2" customWidth="1"/>
    <col min="6669" max="6669" width="5" style="2" customWidth="1"/>
    <col min="6670" max="6670" width="4.6640625" style="2" customWidth="1"/>
    <col min="6671" max="6671" width="4.1640625" style="2" customWidth="1"/>
    <col min="6672" max="6673" width="4.6640625" style="2" customWidth="1"/>
    <col min="6674" max="6674" width="4.1640625" style="2" customWidth="1"/>
    <col min="6675" max="6675" width="2.83203125" style="2" customWidth="1"/>
    <col min="6676" max="6676" width="2.1640625" style="2" customWidth="1"/>
    <col min="6677" max="6677" width="7" style="2" customWidth="1"/>
    <col min="6678" max="6678" width="4.1640625" style="2" customWidth="1"/>
    <col min="6679" max="6679" width="3.83203125" style="2" customWidth="1"/>
    <col min="6680" max="6680" width="2.6640625" style="2" customWidth="1"/>
    <col min="6681" max="6681" width="3.83203125" style="2" customWidth="1"/>
    <col min="6682" max="6682" width="7.5" style="2" customWidth="1"/>
    <col min="6683" max="6683" width="2.83203125" style="2" customWidth="1"/>
    <col min="6684" max="6684" width="6.6640625" style="2" customWidth="1"/>
    <col min="6685" max="6685" width="4.33203125" style="2" customWidth="1"/>
    <col min="6686" max="6686" width="5" style="2" customWidth="1"/>
    <col min="6687" max="6689" width="4.5" style="2" customWidth="1"/>
    <col min="6690" max="6690" width="3.1640625" style="2" customWidth="1"/>
    <col min="6691" max="6695" width="3.5" style="2" customWidth="1"/>
    <col min="6696" max="6912" width="9.33203125" style="2"/>
    <col min="6913" max="6913" width="14.1640625" style="2" customWidth="1"/>
    <col min="6914" max="6914" width="6.6640625" style="2" customWidth="1"/>
    <col min="6915" max="6915" width="5.5" style="2" customWidth="1"/>
    <col min="6916" max="6917" width="3.1640625" style="2" customWidth="1"/>
    <col min="6918" max="6920" width="4.1640625" style="2" customWidth="1"/>
    <col min="6921" max="6921" width="5" style="2" customWidth="1"/>
    <col min="6922" max="6922" width="4.1640625" style="2" customWidth="1"/>
    <col min="6923" max="6923" width="5" style="2" customWidth="1"/>
    <col min="6924" max="6924" width="3.6640625" style="2" customWidth="1"/>
    <col min="6925" max="6925" width="5" style="2" customWidth="1"/>
    <col min="6926" max="6926" width="4.6640625" style="2" customWidth="1"/>
    <col min="6927" max="6927" width="4.1640625" style="2" customWidth="1"/>
    <col min="6928" max="6929" width="4.6640625" style="2" customWidth="1"/>
    <col min="6930" max="6930" width="4.1640625" style="2" customWidth="1"/>
    <col min="6931" max="6931" width="2.83203125" style="2" customWidth="1"/>
    <col min="6932" max="6932" width="2.1640625" style="2" customWidth="1"/>
    <col min="6933" max="6933" width="7" style="2" customWidth="1"/>
    <col min="6934" max="6934" width="4.1640625" style="2" customWidth="1"/>
    <col min="6935" max="6935" width="3.83203125" style="2" customWidth="1"/>
    <col min="6936" max="6936" width="2.6640625" style="2" customWidth="1"/>
    <col min="6937" max="6937" width="3.83203125" style="2" customWidth="1"/>
    <col min="6938" max="6938" width="7.5" style="2" customWidth="1"/>
    <col min="6939" max="6939" width="2.83203125" style="2" customWidth="1"/>
    <col min="6940" max="6940" width="6.6640625" style="2" customWidth="1"/>
    <col min="6941" max="6941" width="4.33203125" style="2" customWidth="1"/>
    <col min="6942" max="6942" width="5" style="2" customWidth="1"/>
    <col min="6943" max="6945" width="4.5" style="2" customWidth="1"/>
    <col min="6946" max="6946" width="3.1640625" style="2" customWidth="1"/>
    <col min="6947" max="6951" width="3.5" style="2" customWidth="1"/>
    <col min="6952" max="7168" width="9.33203125" style="2"/>
    <col min="7169" max="7169" width="14.1640625" style="2" customWidth="1"/>
    <col min="7170" max="7170" width="6.6640625" style="2" customWidth="1"/>
    <col min="7171" max="7171" width="5.5" style="2" customWidth="1"/>
    <col min="7172" max="7173" width="3.1640625" style="2" customWidth="1"/>
    <col min="7174" max="7176" width="4.1640625" style="2" customWidth="1"/>
    <col min="7177" max="7177" width="5" style="2" customWidth="1"/>
    <col min="7178" max="7178" width="4.1640625" style="2" customWidth="1"/>
    <col min="7179" max="7179" width="5" style="2" customWidth="1"/>
    <col min="7180" max="7180" width="3.6640625" style="2" customWidth="1"/>
    <col min="7181" max="7181" width="5" style="2" customWidth="1"/>
    <col min="7182" max="7182" width="4.6640625" style="2" customWidth="1"/>
    <col min="7183" max="7183" width="4.1640625" style="2" customWidth="1"/>
    <col min="7184" max="7185" width="4.6640625" style="2" customWidth="1"/>
    <col min="7186" max="7186" width="4.1640625" style="2" customWidth="1"/>
    <col min="7187" max="7187" width="2.83203125" style="2" customWidth="1"/>
    <col min="7188" max="7188" width="2.1640625" style="2" customWidth="1"/>
    <col min="7189" max="7189" width="7" style="2" customWidth="1"/>
    <col min="7190" max="7190" width="4.1640625" style="2" customWidth="1"/>
    <col min="7191" max="7191" width="3.83203125" style="2" customWidth="1"/>
    <col min="7192" max="7192" width="2.6640625" style="2" customWidth="1"/>
    <col min="7193" max="7193" width="3.83203125" style="2" customWidth="1"/>
    <col min="7194" max="7194" width="7.5" style="2" customWidth="1"/>
    <col min="7195" max="7195" width="2.83203125" style="2" customWidth="1"/>
    <col min="7196" max="7196" width="6.6640625" style="2" customWidth="1"/>
    <col min="7197" max="7197" width="4.33203125" style="2" customWidth="1"/>
    <col min="7198" max="7198" width="5" style="2" customWidth="1"/>
    <col min="7199" max="7201" width="4.5" style="2" customWidth="1"/>
    <col min="7202" max="7202" width="3.1640625" style="2" customWidth="1"/>
    <col min="7203" max="7207" width="3.5" style="2" customWidth="1"/>
    <col min="7208" max="7424" width="9.33203125" style="2"/>
    <col min="7425" max="7425" width="14.1640625" style="2" customWidth="1"/>
    <col min="7426" max="7426" width="6.6640625" style="2" customWidth="1"/>
    <col min="7427" max="7427" width="5.5" style="2" customWidth="1"/>
    <col min="7428" max="7429" width="3.1640625" style="2" customWidth="1"/>
    <col min="7430" max="7432" width="4.1640625" style="2" customWidth="1"/>
    <col min="7433" max="7433" width="5" style="2" customWidth="1"/>
    <col min="7434" max="7434" width="4.1640625" style="2" customWidth="1"/>
    <col min="7435" max="7435" width="5" style="2" customWidth="1"/>
    <col min="7436" max="7436" width="3.6640625" style="2" customWidth="1"/>
    <col min="7437" max="7437" width="5" style="2" customWidth="1"/>
    <col min="7438" max="7438" width="4.6640625" style="2" customWidth="1"/>
    <col min="7439" max="7439" width="4.1640625" style="2" customWidth="1"/>
    <col min="7440" max="7441" width="4.6640625" style="2" customWidth="1"/>
    <col min="7442" max="7442" width="4.1640625" style="2" customWidth="1"/>
    <col min="7443" max="7443" width="2.83203125" style="2" customWidth="1"/>
    <col min="7444" max="7444" width="2.1640625" style="2" customWidth="1"/>
    <col min="7445" max="7445" width="7" style="2" customWidth="1"/>
    <col min="7446" max="7446" width="4.1640625" style="2" customWidth="1"/>
    <col min="7447" max="7447" width="3.83203125" style="2" customWidth="1"/>
    <col min="7448" max="7448" width="2.6640625" style="2" customWidth="1"/>
    <col min="7449" max="7449" width="3.83203125" style="2" customWidth="1"/>
    <col min="7450" max="7450" width="7.5" style="2" customWidth="1"/>
    <col min="7451" max="7451" width="2.83203125" style="2" customWidth="1"/>
    <col min="7452" max="7452" width="6.6640625" style="2" customWidth="1"/>
    <col min="7453" max="7453" width="4.33203125" style="2" customWidth="1"/>
    <col min="7454" max="7454" width="5" style="2" customWidth="1"/>
    <col min="7455" max="7457" width="4.5" style="2" customWidth="1"/>
    <col min="7458" max="7458" width="3.1640625" style="2" customWidth="1"/>
    <col min="7459" max="7463" width="3.5" style="2" customWidth="1"/>
    <col min="7464" max="7680" width="9.33203125" style="2"/>
    <col min="7681" max="7681" width="14.1640625" style="2" customWidth="1"/>
    <col min="7682" max="7682" width="6.6640625" style="2" customWidth="1"/>
    <col min="7683" max="7683" width="5.5" style="2" customWidth="1"/>
    <col min="7684" max="7685" width="3.1640625" style="2" customWidth="1"/>
    <col min="7686" max="7688" width="4.1640625" style="2" customWidth="1"/>
    <col min="7689" max="7689" width="5" style="2" customWidth="1"/>
    <col min="7690" max="7690" width="4.1640625" style="2" customWidth="1"/>
    <col min="7691" max="7691" width="5" style="2" customWidth="1"/>
    <col min="7692" max="7692" width="3.6640625" style="2" customWidth="1"/>
    <col min="7693" max="7693" width="5" style="2" customWidth="1"/>
    <col min="7694" max="7694" width="4.6640625" style="2" customWidth="1"/>
    <col min="7695" max="7695" width="4.1640625" style="2" customWidth="1"/>
    <col min="7696" max="7697" width="4.6640625" style="2" customWidth="1"/>
    <col min="7698" max="7698" width="4.1640625" style="2" customWidth="1"/>
    <col min="7699" max="7699" width="2.83203125" style="2" customWidth="1"/>
    <col min="7700" max="7700" width="2.1640625" style="2" customWidth="1"/>
    <col min="7701" max="7701" width="7" style="2" customWidth="1"/>
    <col min="7702" max="7702" width="4.1640625" style="2" customWidth="1"/>
    <col min="7703" max="7703" width="3.83203125" style="2" customWidth="1"/>
    <col min="7704" max="7704" width="2.6640625" style="2" customWidth="1"/>
    <col min="7705" max="7705" width="3.83203125" style="2" customWidth="1"/>
    <col min="7706" max="7706" width="7.5" style="2" customWidth="1"/>
    <col min="7707" max="7707" width="2.83203125" style="2" customWidth="1"/>
    <col min="7708" max="7708" width="6.6640625" style="2" customWidth="1"/>
    <col min="7709" max="7709" width="4.33203125" style="2" customWidth="1"/>
    <col min="7710" max="7710" width="5" style="2" customWidth="1"/>
    <col min="7711" max="7713" width="4.5" style="2" customWidth="1"/>
    <col min="7714" max="7714" width="3.1640625" style="2" customWidth="1"/>
    <col min="7715" max="7719" width="3.5" style="2" customWidth="1"/>
    <col min="7720" max="7936" width="9.33203125" style="2"/>
    <col min="7937" max="7937" width="14.1640625" style="2" customWidth="1"/>
    <col min="7938" max="7938" width="6.6640625" style="2" customWidth="1"/>
    <col min="7939" max="7939" width="5.5" style="2" customWidth="1"/>
    <col min="7940" max="7941" width="3.1640625" style="2" customWidth="1"/>
    <col min="7942" max="7944" width="4.1640625" style="2" customWidth="1"/>
    <col min="7945" max="7945" width="5" style="2" customWidth="1"/>
    <col min="7946" max="7946" width="4.1640625" style="2" customWidth="1"/>
    <col min="7947" max="7947" width="5" style="2" customWidth="1"/>
    <col min="7948" max="7948" width="3.6640625" style="2" customWidth="1"/>
    <col min="7949" max="7949" width="5" style="2" customWidth="1"/>
    <col min="7950" max="7950" width="4.6640625" style="2" customWidth="1"/>
    <col min="7951" max="7951" width="4.1640625" style="2" customWidth="1"/>
    <col min="7952" max="7953" width="4.6640625" style="2" customWidth="1"/>
    <col min="7954" max="7954" width="4.1640625" style="2" customWidth="1"/>
    <col min="7955" max="7955" width="2.83203125" style="2" customWidth="1"/>
    <col min="7956" max="7956" width="2.1640625" style="2" customWidth="1"/>
    <col min="7957" max="7957" width="7" style="2" customWidth="1"/>
    <col min="7958" max="7958" width="4.1640625" style="2" customWidth="1"/>
    <col min="7959" max="7959" width="3.83203125" style="2" customWidth="1"/>
    <col min="7960" max="7960" width="2.6640625" style="2" customWidth="1"/>
    <col min="7961" max="7961" width="3.83203125" style="2" customWidth="1"/>
    <col min="7962" max="7962" width="7.5" style="2" customWidth="1"/>
    <col min="7963" max="7963" width="2.83203125" style="2" customWidth="1"/>
    <col min="7964" max="7964" width="6.6640625" style="2" customWidth="1"/>
    <col min="7965" max="7965" width="4.33203125" style="2" customWidth="1"/>
    <col min="7966" max="7966" width="5" style="2" customWidth="1"/>
    <col min="7967" max="7969" width="4.5" style="2" customWidth="1"/>
    <col min="7970" max="7970" width="3.1640625" style="2" customWidth="1"/>
    <col min="7971" max="7975" width="3.5" style="2" customWidth="1"/>
    <col min="7976" max="8192" width="9.33203125" style="2"/>
    <col min="8193" max="8193" width="14.1640625" style="2" customWidth="1"/>
    <col min="8194" max="8194" width="6.6640625" style="2" customWidth="1"/>
    <col min="8195" max="8195" width="5.5" style="2" customWidth="1"/>
    <col min="8196" max="8197" width="3.1640625" style="2" customWidth="1"/>
    <col min="8198" max="8200" width="4.1640625" style="2" customWidth="1"/>
    <col min="8201" max="8201" width="5" style="2" customWidth="1"/>
    <col min="8202" max="8202" width="4.1640625" style="2" customWidth="1"/>
    <col min="8203" max="8203" width="5" style="2" customWidth="1"/>
    <col min="8204" max="8204" width="3.6640625" style="2" customWidth="1"/>
    <col min="8205" max="8205" width="5" style="2" customWidth="1"/>
    <col min="8206" max="8206" width="4.6640625" style="2" customWidth="1"/>
    <col min="8207" max="8207" width="4.1640625" style="2" customWidth="1"/>
    <col min="8208" max="8209" width="4.6640625" style="2" customWidth="1"/>
    <col min="8210" max="8210" width="4.1640625" style="2" customWidth="1"/>
    <col min="8211" max="8211" width="2.83203125" style="2" customWidth="1"/>
    <col min="8212" max="8212" width="2.1640625" style="2" customWidth="1"/>
    <col min="8213" max="8213" width="7" style="2" customWidth="1"/>
    <col min="8214" max="8214" width="4.1640625" style="2" customWidth="1"/>
    <col min="8215" max="8215" width="3.83203125" style="2" customWidth="1"/>
    <col min="8216" max="8216" width="2.6640625" style="2" customWidth="1"/>
    <col min="8217" max="8217" width="3.83203125" style="2" customWidth="1"/>
    <col min="8218" max="8218" width="7.5" style="2" customWidth="1"/>
    <col min="8219" max="8219" width="2.83203125" style="2" customWidth="1"/>
    <col min="8220" max="8220" width="6.6640625" style="2" customWidth="1"/>
    <col min="8221" max="8221" width="4.33203125" style="2" customWidth="1"/>
    <col min="8222" max="8222" width="5" style="2" customWidth="1"/>
    <col min="8223" max="8225" width="4.5" style="2" customWidth="1"/>
    <col min="8226" max="8226" width="3.1640625" style="2" customWidth="1"/>
    <col min="8227" max="8231" width="3.5" style="2" customWidth="1"/>
    <col min="8232" max="8448" width="9.33203125" style="2"/>
    <col min="8449" max="8449" width="14.1640625" style="2" customWidth="1"/>
    <col min="8450" max="8450" width="6.6640625" style="2" customWidth="1"/>
    <col min="8451" max="8451" width="5.5" style="2" customWidth="1"/>
    <col min="8452" max="8453" width="3.1640625" style="2" customWidth="1"/>
    <col min="8454" max="8456" width="4.1640625" style="2" customWidth="1"/>
    <col min="8457" max="8457" width="5" style="2" customWidth="1"/>
    <col min="8458" max="8458" width="4.1640625" style="2" customWidth="1"/>
    <col min="8459" max="8459" width="5" style="2" customWidth="1"/>
    <col min="8460" max="8460" width="3.6640625" style="2" customWidth="1"/>
    <col min="8461" max="8461" width="5" style="2" customWidth="1"/>
    <col min="8462" max="8462" width="4.6640625" style="2" customWidth="1"/>
    <col min="8463" max="8463" width="4.1640625" style="2" customWidth="1"/>
    <col min="8464" max="8465" width="4.6640625" style="2" customWidth="1"/>
    <col min="8466" max="8466" width="4.1640625" style="2" customWidth="1"/>
    <col min="8467" max="8467" width="2.83203125" style="2" customWidth="1"/>
    <col min="8468" max="8468" width="2.1640625" style="2" customWidth="1"/>
    <col min="8469" max="8469" width="7" style="2" customWidth="1"/>
    <col min="8470" max="8470" width="4.1640625" style="2" customWidth="1"/>
    <col min="8471" max="8471" width="3.83203125" style="2" customWidth="1"/>
    <col min="8472" max="8472" width="2.6640625" style="2" customWidth="1"/>
    <col min="8473" max="8473" width="3.83203125" style="2" customWidth="1"/>
    <col min="8474" max="8474" width="7.5" style="2" customWidth="1"/>
    <col min="8475" max="8475" width="2.83203125" style="2" customWidth="1"/>
    <col min="8476" max="8476" width="6.6640625" style="2" customWidth="1"/>
    <col min="8477" max="8477" width="4.33203125" style="2" customWidth="1"/>
    <col min="8478" max="8478" width="5" style="2" customWidth="1"/>
    <col min="8479" max="8481" width="4.5" style="2" customWidth="1"/>
    <col min="8482" max="8482" width="3.1640625" style="2" customWidth="1"/>
    <col min="8483" max="8487" width="3.5" style="2" customWidth="1"/>
    <col min="8488" max="8704" width="9.33203125" style="2"/>
    <col min="8705" max="8705" width="14.1640625" style="2" customWidth="1"/>
    <col min="8706" max="8706" width="6.6640625" style="2" customWidth="1"/>
    <col min="8707" max="8707" width="5.5" style="2" customWidth="1"/>
    <col min="8708" max="8709" width="3.1640625" style="2" customWidth="1"/>
    <col min="8710" max="8712" width="4.1640625" style="2" customWidth="1"/>
    <col min="8713" max="8713" width="5" style="2" customWidth="1"/>
    <col min="8714" max="8714" width="4.1640625" style="2" customWidth="1"/>
    <col min="8715" max="8715" width="5" style="2" customWidth="1"/>
    <col min="8716" max="8716" width="3.6640625" style="2" customWidth="1"/>
    <col min="8717" max="8717" width="5" style="2" customWidth="1"/>
    <col min="8718" max="8718" width="4.6640625" style="2" customWidth="1"/>
    <col min="8719" max="8719" width="4.1640625" style="2" customWidth="1"/>
    <col min="8720" max="8721" width="4.6640625" style="2" customWidth="1"/>
    <col min="8722" max="8722" width="4.1640625" style="2" customWidth="1"/>
    <col min="8723" max="8723" width="2.83203125" style="2" customWidth="1"/>
    <col min="8724" max="8724" width="2.1640625" style="2" customWidth="1"/>
    <col min="8725" max="8725" width="7" style="2" customWidth="1"/>
    <col min="8726" max="8726" width="4.1640625" style="2" customWidth="1"/>
    <col min="8727" max="8727" width="3.83203125" style="2" customWidth="1"/>
    <col min="8728" max="8728" width="2.6640625" style="2" customWidth="1"/>
    <col min="8729" max="8729" width="3.83203125" style="2" customWidth="1"/>
    <col min="8730" max="8730" width="7.5" style="2" customWidth="1"/>
    <col min="8731" max="8731" width="2.83203125" style="2" customWidth="1"/>
    <col min="8732" max="8732" width="6.6640625" style="2" customWidth="1"/>
    <col min="8733" max="8733" width="4.33203125" style="2" customWidth="1"/>
    <col min="8734" max="8734" width="5" style="2" customWidth="1"/>
    <col min="8735" max="8737" width="4.5" style="2" customWidth="1"/>
    <col min="8738" max="8738" width="3.1640625" style="2" customWidth="1"/>
    <col min="8739" max="8743" width="3.5" style="2" customWidth="1"/>
    <col min="8744" max="8960" width="9.33203125" style="2"/>
    <col min="8961" max="8961" width="14.1640625" style="2" customWidth="1"/>
    <col min="8962" max="8962" width="6.6640625" style="2" customWidth="1"/>
    <col min="8963" max="8963" width="5.5" style="2" customWidth="1"/>
    <col min="8964" max="8965" width="3.1640625" style="2" customWidth="1"/>
    <col min="8966" max="8968" width="4.1640625" style="2" customWidth="1"/>
    <col min="8969" max="8969" width="5" style="2" customWidth="1"/>
    <col min="8970" max="8970" width="4.1640625" style="2" customWidth="1"/>
    <col min="8971" max="8971" width="5" style="2" customWidth="1"/>
    <col min="8972" max="8972" width="3.6640625" style="2" customWidth="1"/>
    <col min="8973" max="8973" width="5" style="2" customWidth="1"/>
    <col min="8974" max="8974" width="4.6640625" style="2" customWidth="1"/>
    <col min="8975" max="8975" width="4.1640625" style="2" customWidth="1"/>
    <col min="8976" max="8977" width="4.6640625" style="2" customWidth="1"/>
    <col min="8978" max="8978" width="4.1640625" style="2" customWidth="1"/>
    <col min="8979" max="8979" width="2.83203125" style="2" customWidth="1"/>
    <col min="8980" max="8980" width="2.1640625" style="2" customWidth="1"/>
    <col min="8981" max="8981" width="7" style="2" customWidth="1"/>
    <col min="8982" max="8982" width="4.1640625" style="2" customWidth="1"/>
    <col min="8983" max="8983" width="3.83203125" style="2" customWidth="1"/>
    <col min="8984" max="8984" width="2.6640625" style="2" customWidth="1"/>
    <col min="8985" max="8985" width="3.83203125" style="2" customWidth="1"/>
    <col min="8986" max="8986" width="7.5" style="2" customWidth="1"/>
    <col min="8987" max="8987" width="2.83203125" style="2" customWidth="1"/>
    <col min="8988" max="8988" width="6.6640625" style="2" customWidth="1"/>
    <col min="8989" max="8989" width="4.33203125" style="2" customWidth="1"/>
    <col min="8990" max="8990" width="5" style="2" customWidth="1"/>
    <col min="8991" max="8993" width="4.5" style="2" customWidth="1"/>
    <col min="8994" max="8994" width="3.1640625" style="2" customWidth="1"/>
    <col min="8995" max="8999" width="3.5" style="2" customWidth="1"/>
    <col min="9000" max="9216" width="9.33203125" style="2"/>
    <col min="9217" max="9217" width="14.1640625" style="2" customWidth="1"/>
    <col min="9218" max="9218" width="6.6640625" style="2" customWidth="1"/>
    <col min="9219" max="9219" width="5.5" style="2" customWidth="1"/>
    <col min="9220" max="9221" width="3.1640625" style="2" customWidth="1"/>
    <col min="9222" max="9224" width="4.1640625" style="2" customWidth="1"/>
    <col min="9225" max="9225" width="5" style="2" customWidth="1"/>
    <col min="9226" max="9226" width="4.1640625" style="2" customWidth="1"/>
    <col min="9227" max="9227" width="5" style="2" customWidth="1"/>
    <col min="9228" max="9228" width="3.6640625" style="2" customWidth="1"/>
    <col min="9229" max="9229" width="5" style="2" customWidth="1"/>
    <col min="9230" max="9230" width="4.6640625" style="2" customWidth="1"/>
    <col min="9231" max="9231" width="4.1640625" style="2" customWidth="1"/>
    <col min="9232" max="9233" width="4.6640625" style="2" customWidth="1"/>
    <col min="9234" max="9234" width="4.1640625" style="2" customWidth="1"/>
    <col min="9235" max="9235" width="2.83203125" style="2" customWidth="1"/>
    <col min="9236" max="9236" width="2.1640625" style="2" customWidth="1"/>
    <col min="9237" max="9237" width="7" style="2" customWidth="1"/>
    <col min="9238" max="9238" width="4.1640625" style="2" customWidth="1"/>
    <col min="9239" max="9239" width="3.83203125" style="2" customWidth="1"/>
    <col min="9240" max="9240" width="2.6640625" style="2" customWidth="1"/>
    <col min="9241" max="9241" width="3.83203125" style="2" customWidth="1"/>
    <col min="9242" max="9242" width="7.5" style="2" customWidth="1"/>
    <col min="9243" max="9243" width="2.83203125" style="2" customWidth="1"/>
    <col min="9244" max="9244" width="6.6640625" style="2" customWidth="1"/>
    <col min="9245" max="9245" width="4.33203125" style="2" customWidth="1"/>
    <col min="9246" max="9246" width="5" style="2" customWidth="1"/>
    <col min="9247" max="9249" width="4.5" style="2" customWidth="1"/>
    <col min="9250" max="9250" width="3.1640625" style="2" customWidth="1"/>
    <col min="9251" max="9255" width="3.5" style="2" customWidth="1"/>
    <col min="9256" max="9472" width="9.33203125" style="2"/>
    <col min="9473" max="9473" width="14.1640625" style="2" customWidth="1"/>
    <col min="9474" max="9474" width="6.6640625" style="2" customWidth="1"/>
    <col min="9475" max="9475" width="5.5" style="2" customWidth="1"/>
    <col min="9476" max="9477" width="3.1640625" style="2" customWidth="1"/>
    <col min="9478" max="9480" width="4.1640625" style="2" customWidth="1"/>
    <col min="9481" max="9481" width="5" style="2" customWidth="1"/>
    <col min="9482" max="9482" width="4.1640625" style="2" customWidth="1"/>
    <col min="9483" max="9483" width="5" style="2" customWidth="1"/>
    <col min="9484" max="9484" width="3.6640625" style="2" customWidth="1"/>
    <col min="9485" max="9485" width="5" style="2" customWidth="1"/>
    <col min="9486" max="9486" width="4.6640625" style="2" customWidth="1"/>
    <col min="9487" max="9487" width="4.1640625" style="2" customWidth="1"/>
    <col min="9488" max="9489" width="4.6640625" style="2" customWidth="1"/>
    <col min="9490" max="9490" width="4.1640625" style="2" customWidth="1"/>
    <col min="9491" max="9491" width="2.83203125" style="2" customWidth="1"/>
    <col min="9492" max="9492" width="2.1640625" style="2" customWidth="1"/>
    <col min="9493" max="9493" width="7" style="2" customWidth="1"/>
    <col min="9494" max="9494" width="4.1640625" style="2" customWidth="1"/>
    <col min="9495" max="9495" width="3.83203125" style="2" customWidth="1"/>
    <col min="9496" max="9496" width="2.6640625" style="2" customWidth="1"/>
    <col min="9497" max="9497" width="3.83203125" style="2" customWidth="1"/>
    <col min="9498" max="9498" width="7.5" style="2" customWidth="1"/>
    <col min="9499" max="9499" width="2.83203125" style="2" customWidth="1"/>
    <col min="9500" max="9500" width="6.6640625" style="2" customWidth="1"/>
    <col min="9501" max="9501" width="4.33203125" style="2" customWidth="1"/>
    <col min="9502" max="9502" width="5" style="2" customWidth="1"/>
    <col min="9503" max="9505" width="4.5" style="2" customWidth="1"/>
    <col min="9506" max="9506" width="3.1640625" style="2" customWidth="1"/>
    <col min="9507" max="9511" width="3.5" style="2" customWidth="1"/>
    <col min="9512" max="9728" width="9.33203125" style="2"/>
    <col min="9729" max="9729" width="14.1640625" style="2" customWidth="1"/>
    <col min="9730" max="9730" width="6.6640625" style="2" customWidth="1"/>
    <col min="9731" max="9731" width="5.5" style="2" customWidth="1"/>
    <col min="9732" max="9733" width="3.1640625" style="2" customWidth="1"/>
    <col min="9734" max="9736" width="4.1640625" style="2" customWidth="1"/>
    <col min="9737" max="9737" width="5" style="2" customWidth="1"/>
    <col min="9738" max="9738" width="4.1640625" style="2" customWidth="1"/>
    <col min="9739" max="9739" width="5" style="2" customWidth="1"/>
    <col min="9740" max="9740" width="3.6640625" style="2" customWidth="1"/>
    <col min="9741" max="9741" width="5" style="2" customWidth="1"/>
    <col min="9742" max="9742" width="4.6640625" style="2" customWidth="1"/>
    <col min="9743" max="9743" width="4.1640625" style="2" customWidth="1"/>
    <col min="9744" max="9745" width="4.6640625" style="2" customWidth="1"/>
    <col min="9746" max="9746" width="4.1640625" style="2" customWidth="1"/>
    <col min="9747" max="9747" width="2.83203125" style="2" customWidth="1"/>
    <col min="9748" max="9748" width="2.1640625" style="2" customWidth="1"/>
    <col min="9749" max="9749" width="7" style="2" customWidth="1"/>
    <col min="9750" max="9750" width="4.1640625" style="2" customWidth="1"/>
    <col min="9751" max="9751" width="3.83203125" style="2" customWidth="1"/>
    <col min="9752" max="9752" width="2.6640625" style="2" customWidth="1"/>
    <col min="9753" max="9753" width="3.83203125" style="2" customWidth="1"/>
    <col min="9754" max="9754" width="7.5" style="2" customWidth="1"/>
    <col min="9755" max="9755" width="2.83203125" style="2" customWidth="1"/>
    <col min="9756" max="9756" width="6.6640625" style="2" customWidth="1"/>
    <col min="9757" max="9757" width="4.33203125" style="2" customWidth="1"/>
    <col min="9758" max="9758" width="5" style="2" customWidth="1"/>
    <col min="9759" max="9761" width="4.5" style="2" customWidth="1"/>
    <col min="9762" max="9762" width="3.1640625" style="2" customWidth="1"/>
    <col min="9763" max="9767" width="3.5" style="2" customWidth="1"/>
    <col min="9768" max="9984" width="9.33203125" style="2"/>
    <col min="9985" max="9985" width="14.1640625" style="2" customWidth="1"/>
    <col min="9986" max="9986" width="6.6640625" style="2" customWidth="1"/>
    <col min="9987" max="9987" width="5.5" style="2" customWidth="1"/>
    <col min="9988" max="9989" width="3.1640625" style="2" customWidth="1"/>
    <col min="9990" max="9992" width="4.1640625" style="2" customWidth="1"/>
    <col min="9993" max="9993" width="5" style="2" customWidth="1"/>
    <col min="9994" max="9994" width="4.1640625" style="2" customWidth="1"/>
    <col min="9995" max="9995" width="5" style="2" customWidth="1"/>
    <col min="9996" max="9996" width="3.6640625" style="2" customWidth="1"/>
    <col min="9997" max="9997" width="5" style="2" customWidth="1"/>
    <col min="9998" max="9998" width="4.6640625" style="2" customWidth="1"/>
    <col min="9999" max="9999" width="4.1640625" style="2" customWidth="1"/>
    <col min="10000" max="10001" width="4.6640625" style="2" customWidth="1"/>
    <col min="10002" max="10002" width="4.1640625" style="2" customWidth="1"/>
    <col min="10003" max="10003" width="2.83203125" style="2" customWidth="1"/>
    <col min="10004" max="10004" width="2.1640625" style="2" customWidth="1"/>
    <col min="10005" max="10005" width="7" style="2" customWidth="1"/>
    <col min="10006" max="10006" width="4.1640625" style="2" customWidth="1"/>
    <col min="10007" max="10007" width="3.83203125" style="2" customWidth="1"/>
    <col min="10008" max="10008" width="2.6640625" style="2" customWidth="1"/>
    <col min="10009" max="10009" width="3.83203125" style="2" customWidth="1"/>
    <col min="10010" max="10010" width="7.5" style="2" customWidth="1"/>
    <col min="10011" max="10011" width="2.83203125" style="2" customWidth="1"/>
    <col min="10012" max="10012" width="6.6640625" style="2" customWidth="1"/>
    <col min="10013" max="10013" width="4.33203125" style="2" customWidth="1"/>
    <col min="10014" max="10014" width="5" style="2" customWidth="1"/>
    <col min="10015" max="10017" width="4.5" style="2" customWidth="1"/>
    <col min="10018" max="10018" width="3.1640625" style="2" customWidth="1"/>
    <col min="10019" max="10023" width="3.5" style="2" customWidth="1"/>
    <col min="10024" max="10240" width="9.33203125" style="2"/>
    <col min="10241" max="10241" width="14.1640625" style="2" customWidth="1"/>
    <col min="10242" max="10242" width="6.6640625" style="2" customWidth="1"/>
    <col min="10243" max="10243" width="5.5" style="2" customWidth="1"/>
    <col min="10244" max="10245" width="3.1640625" style="2" customWidth="1"/>
    <col min="10246" max="10248" width="4.1640625" style="2" customWidth="1"/>
    <col min="10249" max="10249" width="5" style="2" customWidth="1"/>
    <col min="10250" max="10250" width="4.1640625" style="2" customWidth="1"/>
    <col min="10251" max="10251" width="5" style="2" customWidth="1"/>
    <col min="10252" max="10252" width="3.6640625" style="2" customWidth="1"/>
    <col min="10253" max="10253" width="5" style="2" customWidth="1"/>
    <col min="10254" max="10254" width="4.6640625" style="2" customWidth="1"/>
    <col min="10255" max="10255" width="4.1640625" style="2" customWidth="1"/>
    <col min="10256" max="10257" width="4.6640625" style="2" customWidth="1"/>
    <col min="10258" max="10258" width="4.1640625" style="2" customWidth="1"/>
    <col min="10259" max="10259" width="2.83203125" style="2" customWidth="1"/>
    <col min="10260" max="10260" width="2.1640625" style="2" customWidth="1"/>
    <col min="10261" max="10261" width="7" style="2" customWidth="1"/>
    <col min="10262" max="10262" width="4.1640625" style="2" customWidth="1"/>
    <col min="10263" max="10263" width="3.83203125" style="2" customWidth="1"/>
    <col min="10264" max="10264" width="2.6640625" style="2" customWidth="1"/>
    <col min="10265" max="10265" width="3.83203125" style="2" customWidth="1"/>
    <col min="10266" max="10266" width="7.5" style="2" customWidth="1"/>
    <col min="10267" max="10267" width="2.83203125" style="2" customWidth="1"/>
    <col min="10268" max="10268" width="6.6640625" style="2" customWidth="1"/>
    <col min="10269" max="10269" width="4.33203125" style="2" customWidth="1"/>
    <col min="10270" max="10270" width="5" style="2" customWidth="1"/>
    <col min="10271" max="10273" width="4.5" style="2" customWidth="1"/>
    <col min="10274" max="10274" width="3.1640625" style="2" customWidth="1"/>
    <col min="10275" max="10279" width="3.5" style="2" customWidth="1"/>
    <col min="10280" max="10496" width="9.33203125" style="2"/>
    <col min="10497" max="10497" width="14.1640625" style="2" customWidth="1"/>
    <col min="10498" max="10498" width="6.6640625" style="2" customWidth="1"/>
    <col min="10499" max="10499" width="5.5" style="2" customWidth="1"/>
    <col min="10500" max="10501" width="3.1640625" style="2" customWidth="1"/>
    <col min="10502" max="10504" width="4.1640625" style="2" customWidth="1"/>
    <col min="10505" max="10505" width="5" style="2" customWidth="1"/>
    <col min="10506" max="10506" width="4.1640625" style="2" customWidth="1"/>
    <col min="10507" max="10507" width="5" style="2" customWidth="1"/>
    <col min="10508" max="10508" width="3.6640625" style="2" customWidth="1"/>
    <col min="10509" max="10509" width="5" style="2" customWidth="1"/>
    <col min="10510" max="10510" width="4.6640625" style="2" customWidth="1"/>
    <col min="10511" max="10511" width="4.1640625" style="2" customWidth="1"/>
    <col min="10512" max="10513" width="4.6640625" style="2" customWidth="1"/>
    <col min="10514" max="10514" width="4.1640625" style="2" customWidth="1"/>
    <col min="10515" max="10515" width="2.83203125" style="2" customWidth="1"/>
    <col min="10516" max="10516" width="2.1640625" style="2" customWidth="1"/>
    <col min="10517" max="10517" width="7" style="2" customWidth="1"/>
    <col min="10518" max="10518" width="4.1640625" style="2" customWidth="1"/>
    <col min="10519" max="10519" width="3.83203125" style="2" customWidth="1"/>
    <col min="10520" max="10520" width="2.6640625" style="2" customWidth="1"/>
    <col min="10521" max="10521" width="3.83203125" style="2" customWidth="1"/>
    <col min="10522" max="10522" width="7.5" style="2" customWidth="1"/>
    <col min="10523" max="10523" width="2.83203125" style="2" customWidth="1"/>
    <col min="10524" max="10524" width="6.6640625" style="2" customWidth="1"/>
    <col min="10525" max="10525" width="4.33203125" style="2" customWidth="1"/>
    <col min="10526" max="10526" width="5" style="2" customWidth="1"/>
    <col min="10527" max="10529" width="4.5" style="2" customWidth="1"/>
    <col min="10530" max="10530" width="3.1640625" style="2" customWidth="1"/>
    <col min="10531" max="10535" width="3.5" style="2" customWidth="1"/>
    <col min="10536" max="10752" width="9.33203125" style="2"/>
    <col min="10753" max="10753" width="14.1640625" style="2" customWidth="1"/>
    <col min="10754" max="10754" width="6.6640625" style="2" customWidth="1"/>
    <col min="10755" max="10755" width="5.5" style="2" customWidth="1"/>
    <col min="10756" max="10757" width="3.1640625" style="2" customWidth="1"/>
    <col min="10758" max="10760" width="4.1640625" style="2" customWidth="1"/>
    <col min="10761" max="10761" width="5" style="2" customWidth="1"/>
    <col min="10762" max="10762" width="4.1640625" style="2" customWidth="1"/>
    <col min="10763" max="10763" width="5" style="2" customWidth="1"/>
    <col min="10764" max="10764" width="3.6640625" style="2" customWidth="1"/>
    <col min="10765" max="10765" width="5" style="2" customWidth="1"/>
    <col min="10766" max="10766" width="4.6640625" style="2" customWidth="1"/>
    <col min="10767" max="10767" width="4.1640625" style="2" customWidth="1"/>
    <col min="10768" max="10769" width="4.6640625" style="2" customWidth="1"/>
    <col min="10770" max="10770" width="4.1640625" style="2" customWidth="1"/>
    <col min="10771" max="10771" width="2.83203125" style="2" customWidth="1"/>
    <col min="10772" max="10772" width="2.1640625" style="2" customWidth="1"/>
    <col min="10773" max="10773" width="7" style="2" customWidth="1"/>
    <col min="10774" max="10774" width="4.1640625" style="2" customWidth="1"/>
    <col min="10775" max="10775" width="3.83203125" style="2" customWidth="1"/>
    <col min="10776" max="10776" width="2.6640625" style="2" customWidth="1"/>
    <col min="10777" max="10777" width="3.83203125" style="2" customWidth="1"/>
    <col min="10778" max="10778" width="7.5" style="2" customWidth="1"/>
    <col min="10779" max="10779" width="2.83203125" style="2" customWidth="1"/>
    <col min="10780" max="10780" width="6.6640625" style="2" customWidth="1"/>
    <col min="10781" max="10781" width="4.33203125" style="2" customWidth="1"/>
    <col min="10782" max="10782" width="5" style="2" customWidth="1"/>
    <col min="10783" max="10785" width="4.5" style="2" customWidth="1"/>
    <col min="10786" max="10786" width="3.1640625" style="2" customWidth="1"/>
    <col min="10787" max="10791" width="3.5" style="2" customWidth="1"/>
    <col min="10792" max="11008" width="9.33203125" style="2"/>
    <col min="11009" max="11009" width="14.1640625" style="2" customWidth="1"/>
    <col min="11010" max="11010" width="6.6640625" style="2" customWidth="1"/>
    <col min="11011" max="11011" width="5.5" style="2" customWidth="1"/>
    <col min="11012" max="11013" width="3.1640625" style="2" customWidth="1"/>
    <col min="11014" max="11016" width="4.1640625" style="2" customWidth="1"/>
    <col min="11017" max="11017" width="5" style="2" customWidth="1"/>
    <col min="11018" max="11018" width="4.1640625" style="2" customWidth="1"/>
    <col min="11019" max="11019" width="5" style="2" customWidth="1"/>
    <col min="11020" max="11020" width="3.6640625" style="2" customWidth="1"/>
    <col min="11021" max="11021" width="5" style="2" customWidth="1"/>
    <col min="11022" max="11022" width="4.6640625" style="2" customWidth="1"/>
    <col min="11023" max="11023" width="4.1640625" style="2" customWidth="1"/>
    <col min="11024" max="11025" width="4.6640625" style="2" customWidth="1"/>
    <col min="11026" max="11026" width="4.1640625" style="2" customWidth="1"/>
    <col min="11027" max="11027" width="2.83203125" style="2" customWidth="1"/>
    <col min="11028" max="11028" width="2.1640625" style="2" customWidth="1"/>
    <col min="11029" max="11029" width="7" style="2" customWidth="1"/>
    <col min="11030" max="11030" width="4.1640625" style="2" customWidth="1"/>
    <col min="11031" max="11031" width="3.83203125" style="2" customWidth="1"/>
    <col min="11032" max="11032" width="2.6640625" style="2" customWidth="1"/>
    <col min="11033" max="11033" width="3.83203125" style="2" customWidth="1"/>
    <col min="11034" max="11034" width="7.5" style="2" customWidth="1"/>
    <col min="11035" max="11035" width="2.83203125" style="2" customWidth="1"/>
    <col min="11036" max="11036" width="6.6640625" style="2" customWidth="1"/>
    <col min="11037" max="11037" width="4.33203125" style="2" customWidth="1"/>
    <col min="11038" max="11038" width="5" style="2" customWidth="1"/>
    <col min="11039" max="11041" width="4.5" style="2" customWidth="1"/>
    <col min="11042" max="11042" width="3.1640625" style="2" customWidth="1"/>
    <col min="11043" max="11047" width="3.5" style="2" customWidth="1"/>
    <col min="11048" max="11264" width="9.33203125" style="2"/>
    <col min="11265" max="11265" width="14.1640625" style="2" customWidth="1"/>
    <col min="11266" max="11266" width="6.6640625" style="2" customWidth="1"/>
    <col min="11267" max="11267" width="5.5" style="2" customWidth="1"/>
    <col min="11268" max="11269" width="3.1640625" style="2" customWidth="1"/>
    <col min="11270" max="11272" width="4.1640625" style="2" customWidth="1"/>
    <col min="11273" max="11273" width="5" style="2" customWidth="1"/>
    <col min="11274" max="11274" width="4.1640625" style="2" customWidth="1"/>
    <col min="11275" max="11275" width="5" style="2" customWidth="1"/>
    <col min="11276" max="11276" width="3.6640625" style="2" customWidth="1"/>
    <col min="11277" max="11277" width="5" style="2" customWidth="1"/>
    <col min="11278" max="11278" width="4.6640625" style="2" customWidth="1"/>
    <col min="11279" max="11279" width="4.1640625" style="2" customWidth="1"/>
    <col min="11280" max="11281" width="4.6640625" style="2" customWidth="1"/>
    <col min="11282" max="11282" width="4.1640625" style="2" customWidth="1"/>
    <col min="11283" max="11283" width="2.83203125" style="2" customWidth="1"/>
    <col min="11284" max="11284" width="2.1640625" style="2" customWidth="1"/>
    <col min="11285" max="11285" width="7" style="2" customWidth="1"/>
    <col min="11286" max="11286" width="4.1640625" style="2" customWidth="1"/>
    <col min="11287" max="11287" width="3.83203125" style="2" customWidth="1"/>
    <col min="11288" max="11288" width="2.6640625" style="2" customWidth="1"/>
    <col min="11289" max="11289" width="3.83203125" style="2" customWidth="1"/>
    <col min="11290" max="11290" width="7.5" style="2" customWidth="1"/>
    <col min="11291" max="11291" width="2.83203125" style="2" customWidth="1"/>
    <col min="11292" max="11292" width="6.6640625" style="2" customWidth="1"/>
    <col min="11293" max="11293" width="4.33203125" style="2" customWidth="1"/>
    <col min="11294" max="11294" width="5" style="2" customWidth="1"/>
    <col min="11295" max="11297" width="4.5" style="2" customWidth="1"/>
    <col min="11298" max="11298" width="3.1640625" style="2" customWidth="1"/>
    <col min="11299" max="11303" width="3.5" style="2" customWidth="1"/>
    <col min="11304" max="11520" width="9.33203125" style="2"/>
    <col min="11521" max="11521" width="14.1640625" style="2" customWidth="1"/>
    <col min="11522" max="11522" width="6.6640625" style="2" customWidth="1"/>
    <col min="11523" max="11523" width="5.5" style="2" customWidth="1"/>
    <col min="11524" max="11525" width="3.1640625" style="2" customWidth="1"/>
    <col min="11526" max="11528" width="4.1640625" style="2" customWidth="1"/>
    <col min="11529" max="11529" width="5" style="2" customWidth="1"/>
    <col min="11530" max="11530" width="4.1640625" style="2" customWidth="1"/>
    <col min="11531" max="11531" width="5" style="2" customWidth="1"/>
    <col min="11532" max="11532" width="3.6640625" style="2" customWidth="1"/>
    <col min="11533" max="11533" width="5" style="2" customWidth="1"/>
    <col min="11534" max="11534" width="4.6640625" style="2" customWidth="1"/>
    <col min="11535" max="11535" width="4.1640625" style="2" customWidth="1"/>
    <col min="11536" max="11537" width="4.6640625" style="2" customWidth="1"/>
    <col min="11538" max="11538" width="4.1640625" style="2" customWidth="1"/>
    <col min="11539" max="11539" width="2.83203125" style="2" customWidth="1"/>
    <col min="11540" max="11540" width="2.1640625" style="2" customWidth="1"/>
    <col min="11541" max="11541" width="7" style="2" customWidth="1"/>
    <col min="11542" max="11542" width="4.1640625" style="2" customWidth="1"/>
    <col min="11543" max="11543" width="3.83203125" style="2" customWidth="1"/>
    <col min="11544" max="11544" width="2.6640625" style="2" customWidth="1"/>
    <col min="11545" max="11545" width="3.83203125" style="2" customWidth="1"/>
    <col min="11546" max="11546" width="7.5" style="2" customWidth="1"/>
    <col min="11547" max="11547" width="2.83203125" style="2" customWidth="1"/>
    <col min="11548" max="11548" width="6.6640625" style="2" customWidth="1"/>
    <col min="11549" max="11549" width="4.33203125" style="2" customWidth="1"/>
    <col min="11550" max="11550" width="5" style="2" customWidth="1"/>
    <col min="11551" max="11553" width="4.5" style="2" customWidth="1"/>
    <col min="11554" max="11554" width="3.1640625" style="2" customWidth="1"/>
    <col min="11555" max="11559" width="3.5" style="2" customWidth="1"/>
    <col min="11560" max="11776" width="9.33203125" style="2"/>
    <col min="11777" max="11777" width="14.1640625" style="2" customWidth="1"/>
    <col min="11778" max="11778" width="6.6640625" style="2" customWidth="1"/>
    <col min="11779" max="11779" width="5.5" style="2" customWidth="1"/>
    <col min="11780" max="11781" width="3.1640625" style="2" customWidth="1"/>
    <col min="11782" max="11784" width="4.1640625" style="2" customWidth="1"/>
    <col min="11785" max="11785" width="5" style="2" customWidth="1"/>
    <col min="11786" max="11786" width="4.1640625" style="2" customWidth="1"/>
    <col min="11787" max="11787" width="5" style="2" customWidth="1"/>
    <col min="11788" max="11788" width="3.6640625" style="2" customWidth="1"/>
    <col min="11789" max="11789" width="5" style="2" customWidth="1"/>
    <col min="11790" max="11790" width="4.6640625" style="2" customWidth="1"/>
    <col min="11791" max="11791" width="4.1640625" style="2" customWidth="1"/>
    <col min="11792" max="11793" width="4.6640625" style="2" customWidth="1"/>
    <col min="11794" max="11794" width="4.1640625" style="2" customWidth="1"/>
    <col min="11795" max="11795" width="2.83203125" style="2" customWidth="1"/>
    <col min="11796" max="11796" width="2.1640625" style="2" customWidth="1"/>
    <col min="11797" max="11797" width="7" style="2" customWidth="1"/>
    <col min="11798" max="11798" width="4.1640625" style="2" customWidth="1"/>
    <col min="11799" max="11799" width="3.83203125" style="2" customWidth="1"/>
    <col min="11800" max="11800" width="2.6640625" style="2" customWidth="1"/>
    <col min="11801" max="11801" width="3.83203125" style="2" customWidth="1"/>
    <col min="11802" max="11802" width="7.5" style="2" customWidth="1"/>
    <col min="11803" max="11803" width="2.83203125" style="2" customWidth="1"/>
    <col min="11804" max="11804" width="6.6640625" style="2" customWidth="1"/>
    <col min="11805" max="11805" width="4.33203125" style="2" customWidth="1"/>
    <col min="11806" max="11806" width="5" style="2" customWidth="1"/>
    <col min="11807" max="11809" width="4.5" style="2" customWidth="1"/>
    <col min="11810" max="11810" width="3.1640625" style="2" customWidth="1"/>
    <col min="11811" max="11815" width="3.5" style="2" customWidth="1"/>
    <col min="11816" max="12032" width="9.33203125" style="2"/>
    <col min="12033" max="12033" width="14.1640625" style="2" customWidth="1"/>
    <col min="12034" max="12034" width="6.6640625" style="2" customWidth="1"/>
    <col min="12035" max="12035" width="5.5" style="2" customWidth="1"/>
    <col min="12036" max="12037" width="3.1640625" style="2" customWidth="1"/>
    <col min="12038" max="12040" width="4.1640625" style="2" customWidth="1"/>
    <col min="12041" max="12041" width="5" style="2" customWidth="1"/>
    <col min="12042" max="12042" width="4.1640625" style="2" customWidth="1"/>
    <col min="12043" max="12043" width="5" style="2" customWidth="1"/>
    <col min="12044" max="12044" width="3.6640625" style="2" customWidth="1"/>
    <col min="12045" max="12045" width="5" style="2" customWidth="1"/>
    <col min="12046" max="12046" width="4.6640625" style="2" customWidth="1"/>
    <col min="12047" max="12047" width="4.1640625" style="2" customWidth="1"/>
    <col min="12048" max="12049" width="4.6640625" style="2" customWidth="1"/>
    <col min="12050" max="12050" width="4.1640625" style="2" customWidth="1"/>
    <col min="12051" max="12051" width="2.83203125" style="2" customWidth="1"/>
    <col min="12052" max="12052" width="2.1640625" style="2" customWidth="1"/>
    <col min="12053" max="12053" width="7" style="2" customWidth="1"/>
    <col min="12054" max="12054" width="4.1640625" style="2" customWidth="1"/>
    <col min="12055" max="12055" width="3.83203125" style="2" customWidth="1"/>
    <col min="12056" max="12056" width="2.6640625" style="2" customWidth="1"/>
    <col min="12057" max="12057" width="3.83203125" style="2" customWidth="1"/>
    <col min="12058" max="12058" width="7.5" style="2" customWidth="1"/>
    <col min="12059" max="12059" width="2.83203125" style="2" customWidth="1"/>
    <col min="12060" max="12060" width="6.6640625" style="2" customWidth="1"/>
    <col min="12061" max="12061" width="4.33203125" style="2" customWidth="1"/>
    <col min="12062" max="12062" width="5" style="2" customWidth="1"/>
    <col min="12063" max="12065" width="4.5" style="2" customWidth="1"/>
    <col min="12066" max="12066" width="3.1640625" style="2" customWidth="1"/>
    <col min="12067" max="12071" width="3.5" style="2" customWidth="1"/>
    <col min="12072" max="12288" width="9.33203125" style="2"/>
    <col min="12289" max="12289" width="14.1640625" style="2" customWidth="1"/>
    <col min="12290" max="12290" width="6.6640625" style="2" customWidth="1"/>
    <col min="12291" max="12291" width="5.5" style="2" customWidth="1"/>
    <col min="12292" max="12293" width="3.1640625" style="2" customWidth="1"/>
    <col min="12294" max="12296" width="4.1640625" style="2" customWidth="1"/>
    <col min="12297" max="12297" width="5" style="2" customWidth="1"/>
    <col min="12298" max="12298" width="4.1640625" style="2" customWidth="1"/>
    <col min="12299" max="12299" width="5" style="2" customWidth="1"/>
    <col min="12300" max="12300" width="3.6640625" style="2" customWidth="1"/>
    <col min="12301" max="12301" width="5" style="2" customWidth="1"/>
    <col min="12302" max="12302" width="4.6640625" style="2" customWidth="1"/>
    <col min="12303" max="12303" width="4.1640625" style="2" customWidth="1"/>
    <col min="12304" max="12305" width="4.6640625" style="2" customWidth="1"/>
    <col min="12306" max="12306" width="4.1640625" style="2" customWidth="1"/>
    <col min="12307" max="12307" width="2.83203125" style="2" customWidth="1"/>
    <col min="12308" max="12308" width="2.1640625" style="2" customWidth="1"/>
    <col min="12309" max="12309" width="7" style="2" customWidth="1"/>
    <col min="12310" max="12310" width="4.1640625" style="2" customWidth="1"/>
    <col min="12311" max="12311" width="3.83203125" style="2" customWidth="1"/>
    <col min="12312" max="12312" width="2.6640625" style="2" customWidth="1"/>
    <col min="12313" max="12313" width="3.83203125" style="2" customWidth="1"/>
    <col min="12314" max="12314" width="7.5" style="2" customWidth="1"/>
    <col min="12315" max="12315" width="2.83203125" style="2" customWidth="1"/>
    <col min="12316" max="12316" width="6.6640625" style="2" customWidth="1"/>
    <col min="12317" max="12317" width="4.33203125" style="2" customWidth="1"/>
    <col min="12318" max="12318" width="5" style="2" customWidth="1"/>
    <col min="12319" max="12321" width="4.5" style="2" customWidth="1"/>
    <col min="12322" max="12322" width="3.1640625" style="2" customWidth="1"/>
    <col min="12323" max="12327" width="3.5" style="2" customWidth="1"/>
    <col min="12328" max="12544" width="9.33203125" style="2"/>
    <col min="12545" max="12545" width="14.1640625" style="2" customWidth="1"/>
    <col min="12546" max="12546" width="6.6640625" style="2" customWidth="1"/>
    <col min="12547" max="12547" width="5.5" style="2" customWidth="1"/>
    <col min="12548" max="12549" width="3.1640625" style="2" customWidth="1"/>
    <col min="12550" max="12552" width="4.1640625" style="2" customWidth="1"/>
    <col min="12553" max="12553" width="5" style="2" customWidth="1"/>
    <col min="12554" max="12554" width="4.1640625" style="2" customWidth="1"/>
    <col min="12555" max="12555" width="5" style="2" customWidth="1"/>
    <col min="12556" max="12556" width="3.6640625" style="2" customWidth="1"/>
    <col min="12557" max="12557" width="5" style="2" customWidth="1"/>
    <col min="12558" max="12558" width="4.6640625" style="2" customWidth="1"/>
    <col min="12559" max="12559" width="4.1640625" style="2" customWidth="1"/>
    <col min="12560" max="12561" width="4.6640625" style="2" customWidth="1"/>
    <col min="12562" max="12562" width="4.1640625" style="2" customWidth="1"/>
    <col min="12563" max="12563" width="2.83203125" style="2" customWidth="1"/>
    <col min="12564" max="12564" width="2.1640625" style="2" customWidth="1"/>
    <col min="12565" max="12565" width="7" style="2" customWidth="1"/>
    <col min="12566" max="12566" width="4.1640625" style="2" customWidth="1"/>
    <col min="12567" max="12567" width="3.83203125" style="2" customWidth="1"/>
    <col min="12568" max="12568" width="2.6640625" style="2" customWidth="1"/>
    <col min="12569" max="12569" width="3.83203125" style="2" customWidth="1"/>
    <col min="12570" max="12570" width="7.5" style="2" customWidth="1"/>
    <col min="12571" max="12571" width="2.83203125" style="2" customWidth="1"/>
    <col min="12572" max="12572" width="6.6640625" style="2" customWidth="1"/>
    <col min="12573" max="12573" width="4.33203125" style="2" customWidth="1"/>
    <col min="12574" max="12574" width="5" style="2" customWidth="1"/>
    <col min="12575" max="12577" width="4.5" style="2" customWidth="1"/>
    <col min="12578" max="12578" width="3.1640625" style="2" customWidth="1"/>
    <col min="12579" max="12583" width="3.5" style="2" customWidth="1"/>
    <col min="12584" max="12800" width="9.33203125" style="2"/>
    <col min="12801" max="12801" width="14.1640625" style="2" customWidth="1"/>
    <col min="12802" max="12802" width="6.6640625" style="2" customWidth="1"/>
    <col min="12803" max="12803" width="5.5" style="2" customWidth="1"/>
    <col min="12804" max="12805" width="3.1640625" style="2" customWidth="1"/>
    <col min="12806" max="12808" width="4.1640625" style="2" customWidth="1"/>
    <col min="12809" max="12809" width="5" style="2" customWidth="1"/>
    <col min="12810" max="12810" width="4.1640625" style="2" customWidth="1"/>
    <col min="12811" max="12811" width="5" style="2" customWidth="1"/>
    <col min="12812" max="12812" width="3.6640625" style="2" customWidth="1"/>
    <col min="12813" max="12813" width="5" style="2" customWidth="1"/>
    <col min="12814" max="12814" width="4.6640625" style="2" customWidth="1"/>
    <col min="12815" max="12815" width="4.1640625" style="2" customWidth="1"/>
    <col min="12816" max="12817" width="4.6640625" style="2" customWidth="1"/>
    <col min="12818" max="12818" width="4.1640625" style="2" customWidth="1"/>
    <col min="12819" max="12819" width="2.83203125" style="2" customWidth="1"/>
    <col min="12820" max="12820" width="2.1640625" style="2" customWidth="1"/>
    <col min="12821" max="12821" width="7" style="2" customWidth="1"/>
    <col min="12822" max="12822" width="4.1640625" style="2" customWidth="1"/>
    <col min="12823" max="12823" width="3.83203125" style="2" customWidth="1"/>
    <col min="12824" max="12824" width="2.6640625" style="2" customWidth="1"/>
    <col min="12825" max="12825" width="3.83203125" style="2" customWidth="1"/>
    <col min="12826" max="12826" width="7.5" style="2" customWidth="1"/>
    <col min="12827" max="12827" width="2.83203125" style="2" customWidth="1"/>
    <col min="12828" max="12828" width="6.6640625" style="2" customWidth="1"/>
    <col min="12829" max="12829" width="4.33203125" style="2" customWidth="1"/>
    <col min="12830" max="12830" width="5" style="2" customWidth="1"/>
    <col min="12831" max="12833" width="4.5" style="2" customWidth="1"/>
    <col min="12834" max="12834" width="3.1640625" style="2" customWidth="1"/>
    <col min="12835" max="12839" width="3.5" style="2" customWidth="1"/>
    <col min="12840" max="13056" width="9.33203125" style="2"/>
    <col min="13057" max="13057" width="14.1640625" style="2" customWidth="1"/>
    <col min="13058" max="13058" width="6.6640625" style="2" customWidth="1"/>
    <col min="13059" max="13059" width="5.5" style="2" customWidth="1"/>
    <col min="13060" max="13061" width="3.1640625" style="2" customWidth="1"/>
    <col min="13062" max="13064" width="4.1640625" style="2" customWidth="1"/>
    <col min="13065" max="13065" width="5" style="2" customWidth="1"/>
    <col min="13066" max="13066" width="4.1640625" style="2" customWidth="1"/>
    <col min="13067" max="13067" width="5" style="2" customWidth="1"/>
    <col min="13068" max="13068" width="3.6640625" style="2" customWidth="1"/>
    <col min="13069" max="13069" width="5" style="2" customWidth="1"/>
    <col min="13070" max="13070" width="4.6640625" style="2" customWidth="1"/>
    <col min="13071" max="13071" width="4.1640625" style="2" customWidth="1"/>
    <col min="13072" max="13073" width="4.6640625" style="2" customWidth="1"/>
    <col min="13074" max="13074" width="4.1640625" style="2" customWidth="1"/>
    <col min="13075" max="13075" width="2.83203125" style="2" customWidth="1"/>
    <col min="13076" max="13076" width="2.1640625" style="2" customWidth="1"/>
    <col min="13077" max="13077" width="7" style="2" customWidth="1"/>
    <col min="13078" max="13078" width="4.1640625" style="2" customWidth="1"/>
    <col min="13079" max="13079" width="3.83203125" style="2" customWidth="1"/>
    <col min="13080" max="13080" width="2.6640625" style="2" customWidth="1"/>
    <col min="13081" max="13081" width="3.83203125" style="2" customWidth="1"/>
    <col min="13082" max="13082" width="7.5" style="2" customWidth="1"/>
    <col min="13083" max="13083" width="2.83203125" style="2" customWidth="1"/>
    <col min="13084" max="13084" width="6.6640625" style="2" customWidth="1"/>
    <col min="13085" max="13085" width="4.33203125" style="2" customWidth="1"/>
    <col min="13086" max="13086" width="5" style="2" customWidth="1"/>
    <col min="13087" max="13089" width="4.5" style="2" customWidth="1"/>
    <col min="13090" max="13090" width="3.1640625" style="2" customWidth="1"/>
    <col min="13091" max="13095" width="3.5" style="2" customWidth="1"/>
    <col min="13096" max="13312" width="9.33203125" style="2"/>
    <col min="13313" max="13313" width="14.1640625" style="2" customWidth="1"/>
    <col min="13314" max="13314" width="6.6640625" style="2" customWidth="1"/>
    <col min="13315" max="13315" width="5.5" style="2" customWidth="1"/>
    <col min="13316" max="13317" width="3.1640625" style="2" customWidth="1"/>
    <col min="13318" max="13320" width="4.1640625" style="2" customWidth="1"/>
    <col min="13321" max="13321" width="5" style="2" customWidth="1"/>
    <col min="13322" max="13322" width="4.1640625" style="2" customWidth="1"/>
    <col min="13323" max="13323" width="5" style="2" customWidth="1"/>
    <col min="13324" max="13324" width="3.6640625" style="2" customWidth="1"/>
    <col min="13325" max="13325" width="5" style="2" customWidth="1"/>
    <col min="13326" max="13326" width="4.6640625" style="2" customWidth="1"/>
    <col min="13327" max="13327" width="4.1640625" style="2" customWidth="1"/>
    <col min="13328" max="13329" width="4.6640625" style="2" customWidth="1"/>
    <col min="13330" max="13330" width="4.1640625" style="2" customWidth="1"/>
    <col min="13331" max="13331" width="2.83203125" style="2" customWidth="1"/>
    <col min="13332" max="13332" width="2.1640625" style="2" customWidth="1"/>
    <col min="13333" max="13333" width="7" style="2" customWidth="1"/>
    <col min="13334" max="13334" width="4.1640625" style="2" customWidth="1"/>
    <col min="13335" max="13335" width="3.83203125" style="2" customWidth="1"/>
    <col min="13336" max="13336" width="2.6640625" style="2" customWidth="1"/>
    <col min="13337" max="13337" width="3.83203125" style="2" customWidth="1"/>
    <col min="13338" max="13338" width="7.5" style="2" customWidth="1"/>
    <col min="13339" max="13339" width="2.83203125" style="2" customWidth="1"/>
    <col min="13340" max="13340" width="6.6640625" style="2" customWidth="1"/>
    <col min="13341" max="13341" width="4.33203125" style="2" customWidth="1"/>
    <col min="13342" max="13342" width="5" style="2" customWidth="1"/>
    <col min="13343" max="13345" width="4.5" style="2" customWidth="1"/>
    <col min="13346" max="13346" width="3.1640625" style="2" customWidth="1"/>
    <col min="13347" max="13351" width="3.5" style="2" customWidth="1"/>
    <col min="13352" max="13568" width="9.33203125" style="2"/>
    <col min="13569" max="13569" width="14.1640625" style="2" customWidth="1"/>
    <col min="13570" max="13570" width="6.6640625" style="2" customWidth="1"/>
    <col min="13571" max="13571" width="5.5" style="2" customWidth="1"/>
    <col min="13572" max="13573" width="3.1640625" style="2" customWidth="1"/>
    <col min="13574" max="13576" width="4.1640625" style="2" customWidth="1"/>
    <col min="13577" max="13577" width="5" style="2" customWidth="1"/>
    <col min="13578" max="13578" width="4.1640625" style="2" customWidth="1"/>
    <col min="13579" max="13579" width="5" style="2" customWidth="1"/>
    <col min="13580" max="13580" width="3.6640625" style="2" customWidth="1"/>
    <col min="13581" max="13581" width="5" style="2" customWidth="1"/>
    <col min="13582" max="13582" width="4.6640625" style="2" customWidth="1"/>
    <col min="13583" max="13583" width="4.1640625" style="2" customWidth="1"/>
    <col min="13584" max="13585" width="4.6640625" style="2" customWidth="1"/>
    <col min="13586" max="13586" width="4.1640625" style="2" customWidth="1"/>
    <col min="13587" max="13587" width="2.83203125" style="2" customWidth="1"/>
    <col min="13588" max="13588" width="2.1640625" style="2" customWidth="1"/>
    <col min="13589" max="13589" width="7" style="2" customWidth="1"/>
    <col min="13590" max="13590" width="4.1640625" style="2" customWidth="1"/>
    <col min="13591" max="13591" width="3.83203125" style="2" customWidth="1"/>
    <col min="13592" max="13592" width="2.6640625" style="2" customWidth="1"/>
    <col min="13593" max="13593" width="3.83203125" style="2" customWidth="1"/>
    <col min="13594" max="13594" width="7.5" style="2" customWidth="1"/>
    <col min="13595" max="13595" width="2.83203125" style="2" customWidth="1"/>
    <col min="13596" max="13596" width="6.6640625" style="2" customWidth="1"/>
    <col min="13597" max="13597" width="4.33203125" style="2" customWidth="1"/>
    <col min="13598" max="13598" width="5" style="2" customWidth="1"/>
    <col min="13599" max="13601" width="4.5" style="2" customWidth="1"/>
    <col min="13602" max="13602" width="3.1640625" style="2" customWidth="1"/>
    <col min="13603" max="13607" width="3.5" style="2" customWidth="1"/>
    <col min="13608" max="13824" width="9.33203125" style="2"/>
    <col min="13825" max="13825" width="14.1640625" style="2" customWidth="1"/>
    <col min="13826" max="13826" width="6.6640625" style="2" customWidth="1"/>
    <col min="13827" max="13827" width="5.5" style="2" customWidth="1"/>
    <col min="13828" max="13829" width="3.1640625" style="2" customWidth="1"/>
    <col min="13830" max="13832" width="4.1640625" style="2" customWidth="1"/>
    <col min="13833" max="13833" width="5" style="2" customWidth="1"/>
    <col min="13834" max="13834" width="4.1640625" style="2" customWidth="1"/>
    <col min="13835" max="13835" width="5" style="2" customWidth="1"/>
    <col min="13836" max="13836" width="3.6640625" style="2" customWidth="1"/>
    <col min="13837" max="13837" width="5" style="2" customWidth="1"/>
    <col min="13838" max="13838" width="4.6640625" style="2" customWidth="1"/>
    <col min="13839" max="13839" width="4.1640625" style="2" customWidth="1"/>
    <col min="13840" max="13841" width="4.6640625" style="2" customWidth="1"/>
    <col min="13842" max="13842" width="4.1640625" style="2" customWidth="1"/>
    <col min="13843" max="13843" width="2.83203125" style="2" customWidth="1"/>
    <col min="13844" max="13844" width="2.1640625" style="2" customWidth="1"/>
    <col min="13845" max="13845" width="7" style="2" customWidth="1"/>
    <col min="13846" max="13846" width="4.1640625" style="2" customWidth="1"/>
    <col min="13847" max="13847" width="3.83203125" style="2" customWidth="1"/>
    <col min="13848" max="13848" width="2.6640625" style="2" customWidth="1"/>
    <col min="13849" max="13849" width="3.83203125" style="2" customWidth="1"/>
    <col min="13850" max="13850" width="7.5" style="2" customWidth="1"/>
    <col min="13851" max="13851" width="2.83203125" style="2" customWidth="1"/>
    <col min="13852" max="13852" width="6.6640625" style="2" customWidth="1"/>
    <col min="13853" max="13853" width="4.33203125" style="2" customWidth="1"/>
    <col min="13854" max="13854" width="5" style="2" customWidth="1"/>
    <col min="13855" max="13857" width="4.5" style="2" customWidth="1"/>
    <col min="13858" max="13858" width="3.1640625" style="2" customWidth="1"/>
    <col min="13859" max="13863" width="3.5" style="2" customWidth="1"/>
    <col min="13864" max="14080" width="9.33203125" style="2"/>
    <col min="14081" max="14081" width="14.1640625" style="2" customWidth="1"/>
    <col min="14082" max="14082" width="6.6640625" style="2" customWidth="1"/>
    <col min="14083" max="14083" width="5.5" style="2" customWidth="1"/>
    <col min="14084" max="14085" width="3.1640625" style="2" customWidth="1"/>
    <col min="14086" max="14088" width="4.1640625" style="2" customWidth="1"/>
    <col min="14089" max="14089" width="5" style="2" customWidth="1"/>
    <col min="14090" max="14090" width="4.1640625" style="2" customWidth="1"/>
    <col min="14091" max="14091" width="5" style="2" customWidth="1"/>
    <col min="14092" max="14092" width="3.6640625" style="2" customWidth="1"/>
    <col min="14093" max="14093" width="5" style="2" customWidth="1"/>
    <col min="14094" max="14094" width="4.6640625" style="2" customWidth="1"/>
    <col min="14095" max="14095" width="4.1640625" style="2" customWidth="1"/>
    <col min="14096" max="14097" width="4.6640625" style="2" customWidth="1"/>
    <col min="14098" max="14098" width="4.1640625" style="2" customWidth="1"/>
    <col min="14099" max="14099" width="2.83203125" style="2" customWidth="1"/>
    <col min="14100" max="14100" width="2.1640625" style="2" customWidth="1"/>
    <col min="14101" max="14101" width="7" style="2" customWidth="1"/>
    <col min="14102" max="14102" width="4.1640625" style="2" customWidth="1"/>
    <col min="14103" max="14103" width="3.83203125" style="2" customWidth="1"/>
    <col min="14104" max="14104" width="2.6640625" style="2" customWidth="1"/>
    <col min="14105" max="14105" width="3.83203125" style="2" customWidth="1"/>
    <col min="14106" max="14106" width="7.5" style="2" customWidth="1"/>
    <col min="14107" max="14107" width="2.83203125" style="2" customWidth="1"/>
    <col min="14108" max="14108" width="6.6640625" style="2" customWidth="1"/>
    <col min="14109" max="14109" width="4.33203125" style="2" customWidth="1"/>
    <col min="14110" max="14110" width="5" style="2" customWidth="1"/>
    <col min="14111" max="14113" width="4.5" style="2" customWidth="1"/>
    <col min="14114" max="14114" width="3.1640625" style="2" customWidth="1"/>
    <col min="14115" max="14119" width="3.5" style="2" customWidth="1"/>
    <col min="14120" max="14336" width="9.33203125" style="2"/>
    <col min="14337" max="14337" width="14.1640625" style="2" customWidth="1"/>
    <col min="14338" max="14338" width="6.6640625" style="2" customWidth="1"/>
    <col min="14339" max="14339" width="5.5" style="2" customWidth="1"/>
    <col min="14340" max="14341" width="3.1640625" style="2" customWidth="1"/>
    <col min="14342" max="14344" width="4.1640625" style="2" customWidth="1"/>
    <col min="14345" max="14345" width="5" style="2" customWidth="1"/>
    <col min="14346" max="14346" width="4.1640625" style="2" customWidth="1"/>
    <col min="14347" max="14347" width="5" style="2" customWidth="1"/>
    <col min="14348" max="14348" width="3.6640625" style="2" customWidth="1"/>
    <col min="14349" max="14349" width="5" style="2" customWidth="1"/>
    <col min="14350" max="14350" width="4.6640625" style="2" customWidth="1"/>
    <col min="14351" max="14351" width="4.1640625" style="2" customWidth="1"/>
    <col min="14352" max="14353" width="4.6640625" style="2" customWidth="1"/>
    <col min="14354" max="14354" width="4.1640625" style="2" customWidth="1"/>
    <col min="14355" max="14355" width="2.83203125" style="2" customWidth="1"/>
    <col min="14356" max="14356" width="2.1640625" style="2" customWidth="1"/>
    <col min="14357" max="14357" width="7" style="2" customWidth="1"/>
    <col min="14358" max="14358" width="4.1640625" style="2" customWidth="1"/>
    <col min="14359" max="14359" width="3.83203125" style="2" customWidth="1"/>
    <col min="14360" max="14360" width="2.6640625" style="2" customWidth="1"/>
    <col min="14361" max="14361" width="3.83203125" style="2" customWidth="1"/>
    <col min="14362" max="14362" width="7.5" style="2" customWidth="1"/>
    <col min="14363" max="14363" width="2.83203125" style="2" customWidth="1"/>
    <col min="14364" max="14364" width="6.6640625" style="2" customWidth="1"/>
    <col min="14365" max="14365" width="4.33203125" style="2" customWidth="1"/>
    <col min="14366" max="14366" width="5" style="2" customWidth="1"/>
    <col min="14367" max="14369" width="4.5" style="2" customWidth="1"/>
    <col min="14370" max="14370" width="3.1640625" style="2" customWidth="1"/>
    <col min="14371" max="14375" width="3.5" style="2" customWidth="1"/>
    <col min="14376" max="14592" width="9.33203125" style="2"/>
    <col min="14593" max="14593" width="14.1640625" style="2" customWidth="1"/>
    <col min="14594" max="14594" width="6.6640625" style="2" customWidth="1"/>
    <col min="14595" max="14595" width="5.5" style="2" customWidth="1"/>
    <col min="14596" max="14597" width="3.1640625" style="2" customWidth="1"/>
    <col min="14598" max="14600" width="4.1640625" style="2" customWidth="1"/>
    <col min="14601" max="14601" width="5" style="2" customWidth="1"/>
    <col min="14602" max="14602" width="4.1640625" style="2" customWidth="1"/>
    <col min="14603" max="14603" width="5" style="2" customWidth="1"/>
    <col min="14604" max="14604" width="3.6640625" style="2" customWidth="1"/>
    <col min="14605" max="14605" width="5" style="2" customWidth="1"/>
    <col min="14606" max="14606" width="4.6640625" style="2" customWidth="1"/>
    <col min="14607" max="14607" width="4.1640625" style="2" customWidth="1"/>
    <col min="14608" max="14609" width="4.6640625" style="2" customWidth="1"/>
    <col min="14610" max="14610" width="4.1640625" style="2" customWidth="1"/>
    <col min="14611" max="14611" width="2.83203125" style="2" customWidth="1"/>
    <col min="14612" max="14612" width="2.1640625" style="2" customWidth="1"/>
    <col min="14613" max="14613" width="7" style="2" customWidth="1"/>
    <col min="14614" max="14614" width="4.1640625" style="2" customWidth="1"/>
    <col min="14615" max="14615" width="3.83203125" style="2" customWidth="1"/>
    <col min="14616" max="14616" width="2.6640625" style="2" customWidth="1"/>
    <col min="14617" max="14617" width="3.83203125" style="2" customWidth="1"/>
    <col min="14618" max="14618" width="7.5" style="2" customWidth="1"/>
    <col min="14619" max="14619" width="2.83203125" style="2" customWidth="1"/>
    <col min="14620" max="14620" width="6.6640625" style="2" customWidth="1"/>
    <col min="14621" max="14621" width="4.33203125" style="2" customWidth="1"/>
    <col min="14622" max="14622" width="5" style="2" customWidth="1"/>
    <col min="14623" max="14625" width="4.5" style="2" customWidth="1"/>
    <col min="14626" max="14626" width="3.1640625" style="2" customWidth="1"/>
    <col min="14627" max="14631" width="3.5" style="2" customWidth="1"/>
    <col min="14632" max="14848" width="9.33203125" style="2"/>
    <col min="14849" max="14849" width="14.1640625" style="2" customWidth="1"/>
    <col min="14850" max="14850" width="6.6640625" style="2" customWidth="1"/>
    <col min="14851" max="14851" width="5.5" style="2" customWidth="1"/>
    <col min="14852" max="14853" width="3.1640625" style="2" customWidth="1"/>
    <col min="14854" max="14856" width="4.1640625" style="2" customWidth="1"/>
    <col min="14857" max="14857" width="5" style="2" customWidth="1"/>
    <col min="14858" max="14858" width="4.1640625" style="2" customWidth="1"/>
    <col min="14859" max="14859" width="5" style="2" customWidth="1"/>
    <col min="14860" max="14860" width="3.6640625" style="2" customWidth="1"/>
    <col min="14861" max="14861" width="5" style="2" customWidth="1"/>
    <col min="14862" max="14862" width="4.6640625" style="2" customWidth="1"/>
    <col min="14863" max="14863" width="4.1640625" style="2" customWidth="1"/>
    <col min="14864" max="14865" width="4.6640625" style="2" customWidth="1"/>
    <col min="14866" max="14866" width="4.1640625" style="2" customWidth="1"/>
    <col min="14867" max="14867" width="2.83203125" style="2" customWidth="1"/>
    <col min="14868" max="14868" width="2.1640625" style="2" customWidth="1"/>
    <col min="14869" max="14869" width="7" style="2" customWidth="1"/>
    <col min="14870" max="14870" width="4.1640625" style="2" customWidth="1"/>
    <col min="14871" max="14871" width="3.83203125" style="2" customWidth="1"/>
    <col min="14872" max="14872" width="2.6640625" style="2" customWidth="1"/>
    <col min="14873" max="14873" width="3.83203125" style="2" customWidth="1"/>
    <col min="14874" max="14874" width="7.5" style="2" customWidth="1"/>
    <col min="14875" max="14875" width="2.83203125" style="2" customWidth="1"/>
    <col min="14876" max="14876" width="6.6640625" style="2" customWidth="1"/>
    <col min="14877" max="14877" width="4.33203125" style="2" customWidth="1"/>
    <col min="14878" max="14878" width="5" style="2" customWidth="1"/>
    <col min="14879" max="14881" width="4.5" style="2" customWidth="1"/>
    <col min="14882" max="14882" width="3.1640625" style="2" customWidth="1"/>
    <col min="14883" max="14887" width="3.5" style="2" customWidth="1"/>
    <col min="14888" max="15104" width="9.33203125" style="2"/>
    <col min="15105" max="15105" width="14.1640625" style="2" customWidth="1"/>
    <col min="15106" max="15106" width="6.6640625" style="2" customWidth="1"/>
    <col min="15107" max="15107" width="5.5" style="2" customWidth="1"/>
    <col min="15108" max="15109" width="3.1640625" style="2" customWidth="1"/>
    <col min="15110" max="15112" width="4.1640625" style="2" customWidth="1"/>
    <col min="15113" max="15113" width="5" style="2" customWidth="1"/>
    <col min="15114" max="15114" width="4.1640625" style="2" customWidth="1"/>
    <col min="15115" max="15115" width="5" style="2" customWidth="1"/>
    <col min="15116" max="15116" width="3.6640625" style="2" customWidth="1"/>
    <col min="15117" max="15117" width="5" style="2" customWidth="1"/>
    <col min="15118" max="15118" width="4.6640625" style="2" customWidth="1"/>
    <col min="15119" max="15119" width="4.1640625" style="2" customWidth="1"/>
    <col min="15120" max="15121" width="4.6640625" style="2" customWidth="1"/>
    <col min="15122" max="15122" width="4.1640625" style="2" customWidth="1"/>
    <col min="15123" max="15123" width="2.83203125" style="2" customWidth="1"/>
    <col min="15124" max="15124" width="2.1640625" style="2" customWidth="1"/>
    <col min="15125" max="15125" width="7" style="2" customWidth="1"/>
    <col min="15126" max="15126" width="4.1640625" style="2" customWidth="1"/>
    <col min="15127" max="15127" width="3.83203125" style="2" customWidth="1"/>
    <col min="15128" max="15128" width="2.6640625" style="2" customWidth="1"/>
    <col min="15129" max="15129" width="3.83203125" style="2" customWidth="1"/>
    <col min="15130" max="15130" width="7.5" style="2" customWidth="1"/>
    <col min="15131" max="15131" width="2.83203125" style="2" customWidth="1"/>
    <col min="15132" max="15132" width="6.6640625" style="2" customWidth="1"/>
    <col min="15133" max="15133" width="4.33203125" style="2" customWidth="1"/>
    <col min="15134" max="15134" width="5" style="2" customWidth="1"/>
    <col min="15135" max="15137" width="4.5" style="2" customWidth="1"/>
    <col min="15138" max="15138" width="3.1640625" style="2" customWidth="1"/>
    <col min="15139" max="15143" width="3.5" style="2" customWidth="1"/>
    <col min="15144" max="15360" width="9.33203125" style="2"/>
    <col min="15361" max="15361" width="14.1640625" style="2" customWidth="1"/>
    <col min="15362" max="15362" width="6.6640625" style="2" customWidth="1"/>
    <col min="15363" max="15363" width="5.5" style="2" customWidth="1"/>
    <col min="15364" max="15365" width="3.1640625" style="2" customWidth="1"/>
    <col min="15366" max="15368" width="4.1640625" style="2" customWidth="1"/>
    <col min="15369" max="15369" width="5" style="2" customWidth="1"/>
    <col min="15370" max="15370" width="4.1640625" style="2" customWidth="1"/>
    <col min="15371" max="15371" width="5" style="2" customWidth="1"/>
    <col min="15372" max="15372" width="3.6640625" style="2" customWidth="1"/>
    <col min="15373" max="15373" width="5" style="2" customWidth="1"/>
    <col min="15374" max="15374" width="4.6640625" style="2" customWidth="1"/>
    <col min="15375" max="15375" width="4.1640625" style="2" customWidth="1"/>
    <col min="15376" max="15377" width="4.6640625" style="2" customWidth="1"/>
    <col min="15378" max="15378" width="4.1640625" style="2" customWidth="1"/>
    <col min="15379" max="15379" width="2.83203125" style="2" customWidth="1"/>
    <col min="15380" max="15380" width="2.1640625" style="2" customWidth="1"/>
    <col min="15381" max="15381" width="7" style="2" customWidth="1"/>
    <col min="15382" max="15382" width="4.1640625" style="2" customWidth="1"/>
    <col min="15383" max="15383" width="3.83203125" style="2" customWidth="1"/>
    <col min="15384" max="15384" width="2.6640625" style="2" customWidth="1"/>
    <col min="15385" max="15385" width="3.83203125" style="2" customWidth="1"/>
    <col min="15386" max="15386" width="7.5" style="2" customWidth="1"/>
    <col min="15387" max="15387" width="2.83203125" style="2" customWidth="1"/>
    <col min="15388" max="15388" width="6.6640625" style="2" customWidth="1"/>
    <col min="15389" max="15389" width="4.33203125" style="2" customWidth="1"/>
    <col min="15390" max="15390" width="5" style="2" customWidth="1"/>
    <col min="15391" max="15393" width="4.5" style="2" customWidth="1"/>
    <col min="15394" max="15394" width="3.1640625" style="2" customWidth="1"/>
    <col min="15395" max="15399" width="3.5" style="2" customWidth="1"/>
    <col min="15400" max="15616" width="9.33203125" style="2"/>
    <col min="15617" max="15617" width="14.1640625" style="2" customWidth="1"/>
    <col min="15618" max="15618" width="6.6640625" style="2" customWidth="1"/>
    <col min="15619" max="15619" width="5.5" style="2" customWidth="1"/>
    <col min="15620" max="15621" width="3.1640625" style="2" customWidth="1"/>
    <col min="15622" max="15624" width="4.1640625" style="2" customWidth="1"/>
    <col min="15625" max="15625" width="5" style="2" customWidth="1"/>
    <col min="15626" max="15626" width="4.1640625" style="2" customWidth="1"/>
    <col min="15627" max="15627" width="5" style="2" customWidth="1"/>
    <col min="15628" max="15628" width="3.6640625" style="2" customWidth="1"/>
    <col min="15629" max="15629" width="5" style="2" customWidth="1"/>
    <col min="15630" max="15630" width="4.6640625" style="2" customWidth="1"/>
    <col min="15631" max="15631" width="4.1640625" style="2" customWidth="1"/>
    <col min="15632" max="15633" width="4.6640625" style="2" customWidth="1"/>
    <col min="15634" max="15634" width="4.1640625" style="2" customWidth="1"/>
    <col min="15635" max="15635" width="2.83203125" style="2" customWidth="1"/>
    <col min="15636" max="15636" width="2.1640625" style="2" customWidth="1"/>
    <col min="15637" max="15637" width="7" style="2" customWidth="1"/>
    <col min="15638" max="15638" width="4.1640625" style="2" customWidth="1"/>
    <col min="15639" max="15639" width="3.83203125" style="2" customWidth="1"/>
    <col min="15640" max="15640" width="2.6640625" style="2" customWidth="1"/>
    <col min="15641" max="15641" width="3.83203125" style="2" customWidth="1"/>
    <col min="15642" max="15642" width="7.5" style="2" customWidth="1"/>
    <col min="15643" max="15643" width="2.83203125" style="2" customWidth="1"/>
    <col min="15644" max="15644" width="6.6640625" style="2" customWidth="1"/>
    <col min="15645" max="15645" width="4.33203125" style="2" customWidth="1"/>
    <col min="15646" max="15646" width="5" style="2" customWidth="1"/>
    <col min="15647" max="15649" width="4.5" style="2" customWidth="1"/>
    <col min="15650" max="15650" width="3.1640625" style="2" customWidth="1"/>
    <col min="15651" max="15655" width="3.5" style="2" customWidth="1"/>
    <col min="15656" max="15872" width="9.33203125" style="2"/>
    <col min="15873" max="15873" width="14.1640625" style="2" customWidth="1"/>
    <col min="15874" max="15874" width="6.6640625" style="2" customWidth="1"/>
    <col min="15875" max="15875" width="5.5" style="2" customWidth="1"/>
    <col min="15876" max="15877" width="3.1640625" style="2" customWidth="1"/>
    <col min="15878" max="15880" width="4.1640625" style="2" customWidth="1"/>
    <col min="15881" max="15881" width="5" style="2" customWidth="1"/>
    <col min="15882" max="15882" width="4.1640625" style="2" customWidth="1"/>
    <col min="15883" max="15883" width="5" style="2" customWidth="1"/>
    <col min="15884" max="15884" width="3.6640625" style="2" customWidth="1"/>
    <col min="15885" max="15885" width="5" style="2" customWidth="1"/>
    <col min="15886" max="15886" width="4.6640625" style="2" customWidth="1"/>
    <col min="15887" max="15887" width="4.1640625" style="2" customWidth="1"/>
    <col min="15888" max="15889" width="4.6640625" style="2" customWidth="1"/>
    <col min="15890" max="15890" width="4.1640625" style="2" customWidth="1"/>
    <col min="15891" max="15891" width="2.83203125" style="2" customWidth="1"/>
    <col min="15892" max="15892" width="2.1640625" style="2" customWidth="1"/>
    <col min="15893" max="15893" width="7" style="2" customWidth="1"/>
    <col min="15894" max="15894" width="4.1640625" style="2" customWidth="1"/>
    <col min="15895" max="15895" width="3.83203125" style="2" customWidth="1"/>
    <col min="15896" max="15896" width="2.6640625" style="2" customWidth="1"/>
    <col min="15897" max="15897" width="3.83203125" style="2" customWidth="1"/>
    <col min="15898" max="15898" width="7.5" style="2" customWidth="1"/>
    <col min="15899" max="15899" width="2.83203125" style="2" customWidth="1"/>
    <col min="15900" max="15900" width="6.6640625" style="2" customWidth="1"/>
    <col min="15901" max="15901" width="4.33203125" style="2" customWidth="1"/>
    <col min="15902" max="15902" width="5" style="2" customWidth="1"/>
    <col min="15903" max="15905" width="4.5" style="2" customWidth="1"/>
    <col min="15906" max="15906" width="3.1640625" style="2" customWidth="1"/>
    <col min="15907" max="15911" width="3.5" style="2" customWidth="1"/>
    <col min="15912" max="16128" width="9.33203125" style="2"/>
    <col min="16129" max="16129" width="14.1640625" style="2" customWidth="1"/>
    <col min="16130" max="16130" width="6.6640625" style="2" customWidth="1"/>
    <col min="16131" max="16131" width="5.5" style="2" customWidth="1"/>
    <col min="16132" max="16133" width="3.1640625" style="2" customWidth="1"/>
    <col min="16134" max="16136" width="4.1640625" style="2" customWidth="1"/>
    <col min="16137" max="16137" width="5" style="2" customWidth="1"/>
    <col min="16138" max="16138" width="4.1640625" style="2" customWidth="1"/>
    <col min="16139" max="16139" width="5" style="2" customWidth="1"/>
    <col min="16140" max="16140" width="3.6640625" style="2" customWidth="1"/>
    <col min="16141" max="16141" width="5" style="2" customWidth="1"/>
    <col min="16142" max="16142" width="4.6640625" style="2" customWidth="1"/>
    <col min="16143" max="16143" width="4.1640625" style="2" customWidth="1"/>
    <col min="16144" max="16145" width="4.6640625" style="2" customWidth="1"/>
    <col min="16146" max="16146" width="4.1640625" style="2" customWidth="1"/>
    <col min="16147" max="16147" width="2.83203125" style="2" customWidth="1"/>
    <col min="16148" max="16148" width="2.1640625" style="2" customWidth="1"/>
    <col min="16149" max="16149" width="7" style="2" customWidth="1"/>
    <col min="16150" max="16150" width="4.1640625" style="2" customWidth="1"/>
    <col min="16151" max="16151" width="3.83203125" style="2" customWidth="1"/>
    <col min="16152" max="16152" width="2.6640625" style="2" customWidth="1"/>
    <col min="16153" max="16153" width="3.83203125" style="2" customWidth="1"/>
    <col min="16154" max="16154" width="7.5" style="2" customWidth="1"/>
    <col min="16155" max="16155" width="2.83203125" style="2" customWidth="1"/>
    <col min="16156" max="16156" width="6.6640625" style="2" customWidth="1"/>
    <col min="16157" max="16157" width="4.33203125" style="2" customWidth="1"/>
    <col min="16158" max="16158" width="5" style="2" customWidth="1"/>
    <col min="16159" max="16161" width="4.5" style="2" customWidth="1"/>
    <col min="16162" max="16162" width="3.1640625" style="2" customWidth="1"/>
    <col min="16163" max="16167" width="3.5" style="2" customWidth="1"/>
    <col min="16168" max="16384" width="9.33203125" style="2"/>
  </cols>
  <sheetData>
    <row r="1" spans="1:22" ht="24" customHeight="1" x14ac:dyDescent="0.25">
      <c r="A1" s="1324" t="s">
        <v>42</v>
      </c>
      <c r="B1" s="1324"/>
      <c r="C1" s="1324"/>
      <c r="D1" s="1324"/>
      <c r="E1" s="1324"/>
      <c r="F1" s="1324"/>
      <c r="G1" s="1324"/>
      <c r="H1" s="1324"/>
      <c r="I1" s="1324"/>
      <c r="J1" s="1324"/>
      <c r="K1" s="1324"/>
      <c r="L1" s="1324"/>
      <c r="M1" s="1324"/>
      <c r="N1" s="1324"/>
      <c r="O1" s="1324"/>
      <c r="P1" s="1324"/>
      <c r="Q1" s="1324"/>
      <c r="R1" s="1324"/>
      <c r="S1" s="1324"/>
      <c r="T1" s="1324"/>
      <c r="U1" s="1324"/>
      <c r="V1" s="1"/>
    </row>
    <row r="2" spans="1:22" x14ac:dyDescent="0.25">
      <c r="B2" s="1312" t="s">
        <v>43</v>
      </c>
      <c r="C2" s="1312"/>
      <c r="D2" s="1312"/>
      <c r="E2" s="1312"/>
      <c r="F2" s="1312"/>
      <c r="G2" s="1312"/>
      <c r="H2" s="1312"/>
      <c r="I2" s="1312"/>
      <c r="J2" s="1312"/>
      <c r="K2" s="1312"/>
      <c r="L2" s="1312"/>
      <c r="M2" s="1312"/>
      <c r="N2" s="1312"/>
      <c r="O2" s="1312"/>
      <c r="P2" s="1312"/>
      <c r="Q2" s="1312"/>
      <c r="R2" s="1312"/>
      <c r="S2" s="1312"/>
      <c r="T2" s="1312"/>
      <c r="U2" s="1312"/>
    </row>
    <row r="3" spans="1:22" x14ac:dyDescent="0.25">
      <c r="B3" s="1312" t="s">
        <v>44</v>
      </c>
      <c r="C3" s="1312"/>
      <c r="D3" s="1312"/>
      <c r="E3" s="1312"/>
      <c r="F3" s="1312"/>
      <c r="G3" s="1312"/>
      <c r="H3" s="1312"/>
      <c r="I3" s="1312"/>
      <c r="J3" s="1312"/>
      <c r="K3" s="1312"/>
      <c r="L3" s="1312"/>
      <c r="M3" s="1312"/>
      <c r="N3" s="1312"/>
      <c r="O3" s="1312"/>
      <c r="P3" s="1312"/>
      <c r="Q3" s="1312"/>
      <c r="R3" s="1312"/>
      <c r="S3" s="1312"/>
      <c r="T3" s="1312"/>
      <c r="U3" s="1312"/>
    </row>
    <row r="4" spans="1:22" x14ac:dyDescent="0.25">
      <c r="B4" s="4"/>
      <c r="C4" s="4"/>
      <c r="D4" s="4"/>
      <c r="E4" s="4"/>
      <c r="F4" s="4"/>
      <c r="G4" s="4"/>
      <c r="H4" s="4"/>
      <c r="I4" s="4"/>
      <c r="J4" s="4"/>
      <c r="K4" s="4"/>
      <c r="L4" s="4"/>
      <c r="M4" s="4"/>
      <c r="N4" s="4"/>
      <c r="O4" s="4"/>
      <c r="P4" s="4"/>
      <c r="Q4" s="4"/>
      <c r="R4" s="4"/>
      <c r="S4" s="4"/>
    </row>
    <row r="5" spans="1:22" ht="13.5" customHeight="1" x14ac:dyDescent="0.25">
      <c r="A5" s="5"/>
      <c r="B5" s="6" t="s">
        <v>45</v>
      </c>
      <c r="C5" s="7" t="s">
        <v>46</v>
      </c>
      <c r="D5" s="4"/>
      <c r="E5" s="8"/>
      <c r="F5" s="8"/>
      <c r="G5" s="8"/>
      <c r="H5" s="8"/>
      <c r="I5" s="8"/>
      <c r="J5" s="8"/>
      <c r="K5" s="8"/>
      <c r="L5" s="8"/>
      <c r="M5" s="8"/>
      <c r="N5" s="8"/>
      <c r="O5" s="8"/>
      <c r="P5" s="8"/>
      <c r="Q5" s="8"/>
      <c r="R5" s="8"/>
      <c r="S5" s="8"/>
      <c r="T5" s="8"/>
      <c r="U5" s="8"/>
    </row>
    <row r="6" spans="1:22" ht="13.5" customHeight="1" x14ac:dyDescent="0.25">
      <c r="A6" s="5"/>
      <c r="B6" s="6"/>
      <c r="C6" s="7"/>
      <c r="D6" s="4"/>
      <c r="E6" s="8"/>
      <c r="F6" s="8"/>
      <c r="G6" s="8"/>
      <c r="H6" s="8"/>
      <c r="I6" s="8"/>
      <c r="J6" s="8"/>
      <c r="K6" s="8"/>
      <c r="L6" s="8"/>
      <c r="M6" s="8"/>
      <c r="N6" s="8"/>
      <c r="O6" s="8"/>
      <c r="P6" s="8"/>
      <c r="Q6" s="8"/>
      <c r="R6" s="8"/>
      <c r="S6" s="8"/>
      <c r="T6" s="8"/>
      <c r="U6" s="8"/>
    </row>
    <row r="7" spans="1:22" ht="13.5" customHeight="1" x14ac:dyDescent="0.25">
      <c r="A7" s="5"/>
      <c r="B7" s="9"/>
      <c r="C7" s="10" t="s">
        <v>47</v>
      </c>
      <c r="D7" s="1316" t="s">
        <v>48</v>
      </c>
      <c r="E7" s="1316"/>
      <c r="F7" s="1316"/>
      <c r="G7" s="1316"/>
      <c r="H7" s="1316"/>
      <c r="I7" s="1316"/>
      <c r="J7" s="1316"/>
      <c r="K7" s="1316"/>
      <c r="L7" s="1316"/>
      <c r="M7" s="1316"/>
      <c r="N7" s="1316"/>
      <c r="O7" s="1316"/>
      <c r="P7" s="1316"/>
      <c r="Q7" s="1316"/>
      <c r="R7" s="1316"/>
      <c r="S7" s="1316"/>
      <c r="T7" s="1316"/>
      <c r="U7" s="1316"/>
    </row>
    <row r="8" spans="1:22" ht="75" customHeight="1" x14ac:dyDescent="0.25">
      <c r="A8" s="11"/>
      <c r="B8" s="12"/>
      <c r="C8" s="400" t="str">
        <f>"Laporan Keuangan "&amp;'[1]2.ISIAN DATA SKPD'!D2&amp;" disusun untuk menyediakan informasi yang relevan mengenai posisi keuangan dan seluruh transaksi yang dilakukan oleh "&amp;'[1]2.ISIAN DATA SKPD'!D2&amp;" selama satu periode pelaporan."</f>
        <v>Laporan Keuangan Dinas Pariwisata Dan Kebudayaan disusun untuk menyediakan informasi yang relevan mengenai posisi keuangan dan seluruh transaksi yang dilakukan oleh Dinas Pariwisata Dan Kebudayaan selama satu periode pelaporan.</v>
      </c>
      <c r="D8" s="400"/>
      <c r="E8" s="400"/>
      <c r="F8" s="400"/>
      <c r="G8" s="400"/>
      <c r="H8" s="400"/>
      <c r="I8" s="400"/>
      <c r="J8" s="400"/>
      <c r="K8" s="400"/>
      <c r="L8" s="400"/>
      <c r="M8" s="400"/>
      <c r="N8" s="400"/>
      <c r="O8" s="400"/>
      <c r="P8" s="400"/>
      <c r="Q8" s="400"/>
      <c r="R8" s="400"/>
      <c r="S8" s="400"/>
      <c r="T8" s="400"/>
      <c r="U8" s="400"/>
    </row>
    <row r="9" spans="1:22" ht="81" customHeight="1" x14ac:dyDescent="0.25">
      <c r="A9" s="11"/>
      <c r="B9" s="13"/>
      <c r="C9" s="400" t="str">
        <f>"Laporan keuangan digunakan untuk membandingkan realisasi pendapatan dan belanja dengan anggaran yang telah ditetapkan. "&amp;'[1]2.ISIAN DATA SKPD'!D2&amp;" selaku entitas pelaporan mempunyai kewajiban untuk melaporkan upaya-upaya yang telah berstruktur pada suatu periode pelaporan."</f>
        <v>Laporan keuangan digunakan untuk membandingkan realisasi pendapatan dan belanja dengan anggaran yang telah ditetapkan. Dinas Pariwisata Dan Kebudayaan selaku entitas pelaporan mempunyai kewajiban untuk melaporkan upaya-upaya yang telah berstruktur pada suatu periode pelaporan.</v>
      </c>
      <c r="D9" s="400"/>
      <c r="E9" s="400"/>
      <c r="F9" s="400"/>
      <c r="G9" s="400"/>
      <c r="H9" s="400"/>
      <c r="I9" s="400"/>
      <c r="J9" s="400"/>
      <c r="K9" s="400"/>
      <c r="L9" s="400"/>
      <c r="M9" s="400"/>
      <c r="N9" s="400"/>
      <c r="O9" s="400"/>
      <c r="P9" s="400"/>
      <c r="Q9" s="400"/>
      <c r="R9" s="400"/>
      <c r="S9" s="400"/>
      <c r="T9" s="400"/>
      <c r="U9" s="400"/>
    </row>
    <row r="10" spans="1:22" ht="64.5" customHeight="1" x14ac:dyDescent="0.25">
      <c r="A10" s="14"/>
      <c r="B10" s="15"/>
      <c r="C10" s="400" t="str">
        <f>"Maksud Penyusunan Laporan Keuangan "&amp;'[1]2.ISIAN DATA SKPD'!D2&amp;"  Kabupaten Wonosobo adalah untuk menggambarkan dan menjelaskan target pencapaian realisasi keuangan berdasarkan rencana yang telah ditetapkan."</f>
        <v>Maksud Penyusunan Laporan Keuangan Dinas Pariwisata Dan Kebudayaan  Kabupaten Wonosobo adalah untuk menggambarkan dan menjelaskan target pencapaian realisasi keuangan berdasarkan rencana yang telah ditetapkan.</v>
      </c>
      <c r="D10" s="400"/>
      <c r="E10" s="400"/>
      <c r="F10" s="400"/>
      <c r="G10" s="400"/>
      <c r="H10" s="400"/>
      <c r="I10" s="400"/>
      <c r="J10" s="400"/>
      <c r="K10" s="400"/>
      <c r="L10" s="400"/>
      <c r="M10" s="400"/>
      <c r="N10" s="400"/>
      <c r="O10" s="400"/>
      <c r="P10" s="400"/>
      <c r="Q10" s="400"/>
      <c r="R10" s="400"/>
      <c r="S10" s="400"/>
      <c r="T10" s="400"/>
      <c r="U10" s="400"/>
      <c r="V10" s="16"/>
    </row>
    <row r="11" spans="1:22" ht="16.5" customHeight="1" x14ac:dyDescent="0.25">
      <c r="A11" s="14"/>
      <c r="B11" s="15"/>
      <c r="C11" s="10" t="s">
        <v>49</v>
      </c>
      <c r="D11" s="1316" t="s">
        <v>50</v>
      </c>
      <c r="E11" s="1316"/>
      <c r="F11" s="1316"/>
      <c r="G11" s="1316"/>
      <c r="H11" s="1316"/>
      <c r="I11" s="1316"/>
      <c r="J11" s="1316"/>
      <c r="K11" s="1316"/>
      <c r="L11" s="1316"/>
      <c r="M11" s="1316"/>
      <c r="N11" s="1316"/>
      <c r="O11" s="1316"/>
      <c r="P11" s="1316"/>
      <c r="Q11" s="1316"/>
      <c r="R11" s="1316"/>
      <c r="S11" s="1316"/>
      <c r="T11" s="1316"/>
      <c r="U11" s="1316"/>
      <c r="V11" s="16"/>
    </row>
    <row r="12" spans="1:22" ht="76.5" customHeight="1" x14ac:dyDescent="0.25">
      <c r="A12" s="14"/>
      <c r="B12" s="15"/>
      <c r="C12" s="400" t="s">
        <v>51</v>
      </c>
      <c r="D12" s="400"/>
      <c r="E12" s="400"/>
      <c r="F12" s="400"/>
      <c r="G12" s="400"/>
      <c r="H12" s="400"/>
      <c r="I12" s="400"/>
      <c r="J12" s="400"/>
      <c r="K12" s="400"/>
      <c r="L12" s="400"/>
      <c r="M12" s="400"/>
      <c r="N12" s="400"/>
      <c r="O12" s="400"/>
      <c r="P12" s="400"/>
      <c r="Q12" s="400"/>
      <c r="R12" s="400"/>
      <c r="S12" s="400"/>
      <c r="T12" s="400"/>
      <c r="U12" s="400"/>
      <c r="V12" s="16"/>
    </row>
    <row r="13" spans="1:22" ht="33.75" customHeight="1" x14ac:dyDescent="0.25">
      <c r="A13" s="14"/>
      <c r="B13" s="16"/>
      <c r="C13" s="400" t="s">
        <v>52</v>
      </c>
      <c r="D13" s="400"/>
      <c r="E13" s="400"/>
      <c r="F13" s="400"/>
      <c r="G13" s="400"/>
      <c r="H13" s="400"/>
      <c r="I13" s="400"/>
      <c r="J13" s="400"/>
      <c r="K13" s="400"/>
      <c r="L13" s="400"/>
      <c r="M13" s="400"/>
      <c r="N13" s="400"/>
      <c r="O13" s="400"/>
      <c r="P13" s="400"/>
      <c r="Q13" s="400"/>
      <c r="R13" s="400"/>
      <c r="S13" s="400"/>
      <c r="T13" s="400"/>
      <c r="U13" s="400"/>
      <c r="V13" s="16"/>
    </row>
    <row r="14" spans="1:22" ht="34.5" customHeight="1" x14ac:dyDescent="0.25">
      <c r="A14" s="14"/>
      <c r="B14" s="16"/>
      <c r="C14" s="15" t="s">
        <v>41</v>
      </c>
      <c r="D14" s="400" t="s">
        <v>53</v>
      </c>
      <c r="E14" s="400"/>
      <c r="F14" s="400"/>
      <c r="G14" s="400"/>
      <c r="H14" s="400"/>
      <c r="I14" s="400"/>
      <c r="J14" s="400"/>
      <c r="K14" s="400"/>
      <c r="L14" s="400"/>
      <c r="M14" s="400"/>
      <c r="N14" s="400"/>
      <c r="O14" s="400"/>
      <c r="P14" s="400"/>
      <c r="Q14" s="400"/>
      <c r="R14" s="400"/>
      <c r="S14" s="400"/>
      <c r="T14" s="400"/>
      <c r="U14" s="400"/>
      <c r="V14" s="16"/>
    </row>
    <row r="15" spans="1:22" ht="34.5" customHeight="1" x14ac:dyDescent="0.25">
      <c r="A15" s="14"/>
      <c r="B15" s="16"/>
      <c r="C15" s="15" t="s">
        <v>41</v>
      </c>
      <c r="D15" s="400" t="s">
        <v>54</v>
      </c>
      <c r="E15" s="400"/>
      <c r="F15" s="400"/>
      <c r="G15" s="400"/>
      <c r="H15" s="400"/>
      <c r="I15" s="400"/>
      <c r="J15" s="400"/>
      <c r="K15" s="400"/>
      <c r="L15" s="400"/>
      <c r="M15" s="400"/>
      <c r="N15" s="400"/>
      <c r="O15" s="400"/>
      <c r="P15" s="400"/>
      <c r="Q15" s="400"/>
      <c r="R15" s="400"/>
      <c r="S15" s="400"/>
      <c r="T15" s="400"/>
      <c r="U15" s="400"/>
      <c r="V15" s="16"/>
    </row>
    <row r="16" spans="1:22" ht="34.5" customHeight="1" x14ac:dyDescent="0.25">
      <c r="A16" s="14"/>
      <c r="B16" s="16"/>
      <c r="C16" s="15" t="s">
        <v>41</v>
      </c>
      <c r="D16" s="400" t="s">
        <v>55</v>
      </c>
      <c r="E16" s="400"/>
      <c r="F16" s="400"/>
      <c r="G16" s="400"/>
      <c r="H16" s="400"/>
      <c r="I16" s="400"/>
      <c r="J16" s="400"/>
      <c r="K16" s="400"/>
      <c r="L16" s="400"/>
      <c r="M16" s="400"/>
      <c r="N16" s="400"/>
      <c r="O16" s="400"/>
      <c r="P16" s="400"/>
      <c r="Q16" s="400"/>
      <c r="R16" s="400"/>
      <c r="S16" s="400"/>
      <c r="T16" s="400"/>
      <c r="U16" s="400"/>
      <c r="V16" s="16"/>
    </row>
    <row r="17" spans="1:22" ht="20.25" customHeight="1" x14ac:dyDescent="0.25">
      <c r="A17" s="14"/>
      <c r="B17" s="16"/>
      <c r="C17" s="15" t="s">
        <v>41</v>
      </c>
      <c r="D17" s="400" t="s">
        <v>56</v>
      </c>
      <c r="E17" s="400"/>
      <c r="F17" s="400"/>
      <c r="G17" s="400"/>
      <c r="H17" s="400"/>
      <c r="I17" s="400"/>
      <c r="J17" s="400"/>
      <c r="K17" s="400"/>
      <c r="L17" s="400"/>
      <c r="M17" s="400"/>
      <c r="N17" s="400"/>
      <c r="O17" s="400"/>
      <c r="P17" s="400"/>
      <c r="Q17" s="400"/>
      <c r="R17" s="400"/>
      <c r="S17" s="400"/>
      <c r="T17" s="400"/>
      <c r="U17" s="400"/>
      <c r="V17" s="16"/>
    </row>
    <row r="18" spans="1:22" ht="31.5" customHeight="1" x14ac:dyDescent="0.25">
      <c r="A18" s="14"/>
      <c r="B18" s="16"/>
      <c r="C18" s="15" t="s">
        <v>41</v>
      </c>
      <c r="D18" s="400" t="s">
        <v>57</v>
      </c>
      <c r="E18" s="400"/>
      <c r="F18" s="400"/>
      <c r="G18" s="400"/>
      <c r="H18" s="400"/>
      <c r="I18" s="400"/>
      <c r="J18" s="400"/>
      <c r="K18" s="400"/>
      <c r="L18" s="400"/>
      <c r="M18" s="400"/>
      <c r="N18" s="400"/>
      <c r="O18" s="400"/>
      <c r="P18" s="400"/>
      <c r="Q18" s="400"/>
      <c r="R18" s="400"/>
      <c r="S18" s="400"/>
      <c r="T18" s="400"/>
      <c r="U18" s="400"/>
      <c r="V18" s="16"/>
    </row>
    <row r="19" spans="1:22" ht="31.5" customHeight="1" x14ac:dyDescent="0.25">
      <c r="A19" s="14"/>
      <c r="B19" s="16"/>
      <c r="C19" s="15" t="s">
        <v>41</v>
      </c>
      <c r="D19" s="400" t="s">
        <v>58</v>
      </c>
      <c r="E19" s="400"/>
      <c r="F19" s="400"/>
      <c r="G19" s="400"/>
      <c r="H19" s="400"/>
      <c r="I19" s="400"/>
      <c r="J19" s="400"/>
      <c r="K19" s="400"/>
      <c r="L19" s="400"/>
      <c r="M19" s="400"/>
      <c r="N19" s="400"/>
      <c r="O19" s="400"/>
      <c r="P19" s="400"/>
      <c r="Q19" s="400"/>
      <c r="R19" s="400"/>
      <c r="S19" s="400"/>
      <c r="T19" s="400"/>
      <c r="U19" s="400"/>
      <c r="V19" s="16"/>
    </row>
    <row r="20" spans="1:22" ht="31.5" customHeight="1" x14ac:dyDescent="0.25">
      <c r="A20" s="14"/>
      <c r="B20" s="16"/>
      <c r="C20" s="15" t="s">
        <v>41</v>
      </c>
      <c r="D20" s="400" t="s">
        <v>59</v>
      </c>
      <c r="E20" s="400"/>
      <c r="F20" s="400"/>
      <c r="G20" s="400"/>
      <c r="H20" s="400"/>
      <c r="I20" s="400"/>
      <c r="J20" s="400"/>
      <c r="K20" s="400"/>
      <c r="L20" s="400"/>
      <c r="M20" s="400"/>
      <c r="N20" s="400"/>
      <c r="O20" s="400"/>
      <c r="P20" s="400"/>
      <c r="Q20" s="400"/>
      <c r="R20" s="400"/>
      <c r="S20" s="400"/>
      <c r="T20" s="400"/>
      <c r="U20" s="400"/>
      <c r="V20" s="16"/>
    </row>
    <row r="21" spans="1:22" ht="78.75" customHeight="1" x14ac:dyDescent="0.25">
      <c r="A21" s="14"/>
      <c r="B21" s="16"/>
      <c r="C21" s="400" t="s">
        <v>60</v>
      </c>
      <c r="D21" s="400"/>
      <c r="E21" s="400"/>
      <c r="F21" s="400"/>
      <c r="G21" s="400"/>
      <c r="H21" s="400"/>
      <c r="I21" s="400"/>
      <c r="J21" s="400"/>
      <c r="K21" s="400"/>
      <c r="L21" s="400"/>
      <c r="M21" s="400"/>
      <c r="N21" s="400"/>
      <c r="O21" s="400"/>
      <c r="P21" s="400"/>
      <c r="Q21" s="400"/>
      <c r="R21" s="400"/>
      <c r="S21" s="400"/>
      <c r="T21" s="400"/>
      <c r="U21" s="400"/>
      <c r="V21" s="16"/>
    </row>
    <row r="22" spans="1:22" ht="30" customHeight="1" x14ac:dyDescent="0.25">
      <c r="A22" s="14"/>
      <c r="B22" s="16"/>
      <c r="C22" s="17"/>
      <c r="D22" s="17"/>
      <c r="E22" s="17"/>
      <c r="F22" s="17"/>
      <c r="G22" s="17"/>
      <c r="H22" s="17"/>
      <c r="I22" s="17"/>
      <c r="J22" s="17"/>
      <c r="K22" s="17"/>
      <c r="L22" s="17"/>
      <c r="M22" s="17"/>
      <c r="N22" s="17"/>
      <c r="O22" s="17"/>
      <c r="P22" s="17"/>
      <c r="Q22" s="17"/>
      <c r="R22" s="17"/>
      <c r="S22" s="17"/>
      <c r="T22" s="17"/>
      <c r="U22" s="17"/>
      <c r="V22" s="16"/>
    </row>
    <row r="23" spans="1:22" ht="33.75" customHeight="1" x14ac:dyDescent="0.25">
      <c r="A23" s="18"/>
      <c r="B23" s="19"/>
      <c r="C23" s="408" t="str">
        <f>"Laporan Keuangan "&amp;'[1]2.ISIAN DATA SKPD'!D2&amp;"Kabupaten Wonosobo  terdiri dari :"</f>
        <v>Laporan Keuangan Dinas Pariwisata Dan KebudayaanKabupaten Wonosobo  terdiri dari :</v>
      </c>
      <c r="D23" s="408"/>
      <c r="E23" s="408"/>
      <c r="F23" s="408"/>
      <c r="G23" s="408"/>
      <c r="H23" s="408"/>
      <c r="I23" s="408"/>
      <c r="J23" s="408"/>
      <c r="K23" s="408"/>
      <c r="L23" s="408"/>
      <c r="M23" s="408"/>
      <c r="N23" s="408"/>
      <c r="O23" s="408"/>
      <c r="P23" s="408"/>
      <c r="Q23" s="408"/>
      <c r="R23" s="408"/>
      <c r="S23" s="408"/>
      <c r="T23" s="408"/>
      <c r="U23" s="408"/>
      <c r="V23" s="19"/>
    </row>
    <row r="24" spans="1:22" ht="16.5" customHeight="1" x14ac:dyDescent="0.25">
      <c r="A24" s="18"/>
      <c r="B24" s="19"/>
      <c r="C24" s="408" t="s">
        <v>61</v>
      </c>
      <c r="D24" s="408"/>
      <c r="E24" s="408"/>
      <c r="F24" s="408"/>
      <c r="G24" s="408"/>
      <c r="H24" s="408"/>
      <c r="I24" s="408"/>
      <c r="J24" s="408"/>
      <c r="K24" s="408"/>
      <c r="L24" s="408"/>
      <c r="M24" s="408"/>
      <c r="N24" s="408"/>
      <c r="O24" s="408"/>
      <c r="P24" s="408"/>
      <c r="Q24" s="408"/>
      <c r="R24" s="408"/>
      <c r="S24" s="408"/>
      <c r="T24" s="408"/>
      <c r="U24" s="20"/>
      <c r="V24" s="19"/>
    </row>
    <row r="25" spans="1:22" ht="16.5" customHeight="1" x14ac:dyDescent="0.25">
      <c r="A25" s="18"/>
      <c r="B25" s="19"/>
      <c r="C25" s="408" t="s">
        <v>62</v>
      </c>
      <c r="D25" s="408"/>
      <c r="E25" s="408"/>
      <c r="F25" s="408"/>
      <c r="G25" s="408"/>
      <c r="H25" s="408"/>
      <c r="I25" s="408"/>
      <c r="J25" s="408"/>
      <c r="K25" s="408"/>
      <c r="L25" s="408"/>
      <c r="M25" s="408"/>
      <c r="N25" s="408"/>
      <c r="O25" s="408"/>
      <c r="P25" s="408"/>
      <c r="Q25" s="408"/>
      <c r="R25" s="408"/>
      <c r="S25" s="408"/>
      <c r="T25" s="408"/>
      <c r="U25" s="20"/>
      <c r="V25" s="19"/>
    </row>
    <row r="26" spans="1:22" ht="16.5" customHeight="1" x14ac:dyDescent="0.25">
      <c r="A26" s="18"/>
      <c r="B26" s="19"/>
      <c r="C26" s="408" t="s">
        <v>63</v>
      </c>
      <c r="D26" s="408"/>
      <c r="E26" s="408"/>
      <c r="F26" s="408"/>
      <c r="G26" s="408"/>
      <c r="H26" s="408"/>
      <c r="I26" s="408"/>
      <c r="J26" s="408"/>
      <c r="K26" s="408"/>
      <c r="L26" s="408"/>
      <c r="M26" s="408"/>
      <c r="N26" s="408"/>
      <c r="O26" s="408"/>
      <c r="P26" s="408"/>
      <c r="Q26" s="408"/>
      <c r="R26" s="408"/>
      <c r="S26" s="408"/>
      <c r="T26" s="408"/>
      <c r="U26" s="20"/>
      <c r="V26" s="19"/>
    </row>
    <row r="27" spans="1:22" ht="16.5" customHeight="1" x14ac:dyDescent="0.25">
      <c r="A27" s="18"/>
      <c r="B27" s="19"/>
      <c r="C27" s="408" t="s">
        <v>64</v>
      </c>
      <c r="D27" s="408"/>
      <c r="E27" s="408"/>
      <c r="F27" s="408"/>
      <c r="G27" s="408"/>
      <c r="H27" s="408"/>
      <c r="I27" s="408"/>
      <c r="J27" s="408"/>
      <c r="K27" s="408"/>
      <c r="L27" s="408"/>
      <c r="M27" s="408"/>
      <c r="N27" s="408"/>
      <c r="O27" s="408"/>
      <c r="P27" s="408"/>
      <c r="Q27" s="408"/>
      <c r="R27" s="408"/>
      <c r="S27" s="408"/>
      <c r="T27" s="408"/>
      <c r="U27" s="20"/>
      <c r="V27" s="19"/>
    </row>
    <row r="28" spans="1:22" ht="16.5" customHeight="1" x14ac:dyDescent="0.25">
      <c r="A28" s="21"/>
      <c r="B28" s="22"/>
      <c r="C28" s="408" t="s">
        <v>65</v>
      </c>
      <c r="D28" s="408"/>
      <c r="E28" s="408"/>
      <c r="F28" s="408"/>
      <c r="G28" s="408"/>
      <c r="H28" s="408"/>
      <c r="I28" s="408"/>
      <c r="J28" s="408"/>
      <c r="K28" s="408"/>
      <c r="L28" s="408"/>
      <c r="M28" s="408"/>
      <c r="N28" s="408"/>
      <c r="O28" s="408"/>
      <c r="P28" s="408"/>
      <c r="Q28" s="408"/>
      <c r="R28" s="408"/>
      <c r="S28" s="408"/>
      <c r="T28" s="408"/>
      <c r="U28" s="20"/>
      <c r="V28" s="23"/>
    </row>
    <row r="29" spans="1:22" ht="16.5" customHeight="1" x14ac:dyDescent="0.25">
      <c r="A29" s="21"/>
      <c r="B29" s="22"/>
      <c r="C29" s="17"/>
      <c r="D29" s="17"/>
      <c r="E29" s="17"/>
      <c r="F29" s="17"/>
      <c r="G29" s="17"/>
      <c r="H29" s="17"/>
      <c r="I29" s="17"/>
      <c r="J29" s="17"/>
      <c r="K29" s="17"/>
      <c r="L29" s="17"/>
      <c r="M29" s="17"/>
      <c r="N29" s="17"/>
      <c r="O29" s="17"/>
      <c r="P29" s="17"/>
      <c r="Q29" s="17"/>
      <c r="R29" s="17"/>
      <c r="S29" s="17"/>
      <c r="T29" s="17"/>
      <c r="U29" s="24"/>
      <c r="V29" s="23"/>
    </row>
    <row r="30" spans="1:22" s="16" customFormat="1" ht="18.75" customHeight="1" x14ac:dyDescent="0.2">
      <c r="A30" s="429"/>
      <c r="B30" s="25" t="s">
        <v>66</v>
      </c>
      <c r="C30" s="1314" t="s">
        <v>67</v>
      </c>
      <c r="D30" s="1314"/>
      <c r="E30" s="1314"/>
      <c r="F30" s="1314"/>
      <c r="G30" s="1314"/>
      <c r="H30" s="1314"/>
      <c r="I30" s="1314"/>
      <c r="J30" s="1314"/>
      <c r="K30" s="1314"/>
      <c r="L30" s="1314"/>
      <c r="M30" s="1314"/>
      <c r="N30" s="1314"/>
      <c r="O30" s="1314"/>
      <c r="P30" s="1314"/>
      <c r="Q30" s="1314"/>
      <c r="R30" s="1314"/>
      <c r="S30" s="1314"/>
      <c r="T30" s="1314"/>
      <c r="U30" s="17"/>
      <c r="V30" s="23"/>
    </row>
    <row r="31" spans="1:22" s="16" customFormat="1" ht="93" customHeight="1" x14ac:dyDescent="0.2">
      <c r="A31" s="429"/>
      <c r="B31" s="23"/>
      <c r="C31" s="400" t="s">
        <v>968</v>
      </c>
      <c r="D31" s="400"/>
      <c r="E31" s="400"/>
      <c r="F31" s="400"/>
      <c r="G31" s="400"/>
      <c r="H31" s="400"/>
      <c r="I31" s="400"/>
      <c r="J31" s="400"/>
      <c r="K31" s="400"/>
      <c r="L31" s="400"/>
      <c r="M31" s="400"/>
      <c r="N31" s="400"/>
      <c r="O31" s="400"/>
      <c r="P31" s="400"/>
      <c r="Q31" s="400"/>
      <c r="R31" s="400"/>
      <c r="S31" s="400"/>
      <c r="T31" s="400"/>
      <c r="U31" s="400"/>
      <c r="V31" s="23"/>
    </row>
    <row r="32" spans="1:22" s="16" customFormat="1" ht="48.75" customHeight="1" x14ac:dyDescent="0.2">
      <c r="A32" s="21"/>
      <c r="B32" s="23"/>
      <c r="C32" s="400" t="s">
        <v>68</v>
      </c>
      <c r="D32" s="400"/>
      <c r="E32" s="400"/>
      <c r="F32" s="400"/>
      <c r="G32" s="400"/>
      <c r="H32" s="400"/>
      <c r="I32" s="400"/>
      <c r="J32" s="400"/>
      <c r="K32" s="400"/>
      <c r="L32" s="400"/>
      <c r="M32" s="400"/>
      <c r="N32" s="400"/>
      <c r="O32" s="400"/>
      <c r="P32" s="400"/>
      <c r="Q32" s="400"/>
      <c r="R32" s="400"/>
      <c r="S32" s="400"/>
      <c r="T32" s="400"/>
      <c r="U32" s="400"/>
      <c r="V32" s="23"/>
    </row>
    <row r="33" spans="1:38" s="16" customFormat="1" ht="31.5" customHeight="1" x14ac:dyDescent="0.2">
      <c r="A33" s="26"/>
      <c r="B33" s="23"/>
      <c r="C33" s="27">
        <v>1</v>
      </c>
      <c r="D33" s="400" t="s">
        <v>69</v>
      </c>
      <c r="E33" s="400"/>
      <c r="F33" s="400"/>
      <c r="G33" s="400"/>
      <c r="H33" s="400"/>
      <c r="I33" s="400"/>
      <c r="J33" s="400"/>
      <c r="K33" s="400"/>
      <c r="L33" s="400"/>
      <c r="M33" s="400"/>
      <c r="N33" s="400"/>
      <c r="O33" s="400"/>
      <c r="P33" s="400"/>
      <c r="Q33" s="400"/>
      <c r="R33" s="400"/>
      <c r="S33" s="400"/>
      <c r="T33" s="400"/>
      <c r="U33" s="400"/>
      <c r="V33" s="23"/>
    </row>
    <row r="34" spans="1:38" s="16" customFormat="1" ht="30.75" customHeight="1" x14ac:dyDescent="0.2">
      <c r="A34" s="26"/>
      <c r="B34" s="23"/>
      <c r="C34" s="27">
        <f>C33+1</f>
        <v>2</v>
      </c>
      <c r="D34" s="400" t="s">
        <v>70</v>
      </c>
      <c r="E34" s="400"/>
      <c r="F34" s="400"/>
      <c r="G34" s="400"/>
      <c r="H34" s="400"/>
      <c r="I34" s="400"/>
      <c r="J34" s="400"/>
      <c r="K34" s="400"/>
      <c r="L34" s="400"/>
      <c r="M34" s="400"/>
      <c r="N34" s="400"/>
      <c r="O34" s="400"/>
      <c r="P34" s="400"/>
      <c r="Q34" s="400"/>
      <c r="R34" s="400"/>
      <c r="S34" s="400"/>
      <c r="T34" s="400"/>
      <c r="U34" s="400"/>
      <c r="V34" s="23"/>
    </row>
    <row r="35" spans="1:38" s="16" customFormat="1" ht="78" customHeight="1" x14ac:dyDescent="0.2">
      <c r="A35" s="26"/>
      <c r="B35" s="23"/>
      <c r="C35" s="27">
        <f t="shared" ref="C35:C56" si="0">C34+1</f>
        <v>3</v>
      </c>
      <c r="D35" s="400" t="s">
        <v>71</v>
      </c>
      <c r="E35" s="400"/>
      <c r="F35" s="400"/>
      <c r="G35" s="400"/>
      <c r="H35" s="400"/>
      <c r="I35" s="400"/>
      <c r="J35" s="400"/>
      <c r="K35" s="400"/>
      <c r="L35" s="400"/>
      <c r="M35" s="400"/>
      <c r="N35" s="400"/>
      <c r="O35" s="400"/>
      <c r="P35" s="400"/>
      <c r="Q35" s="400"/>
      <c r="R35" s="400"/>
      <c r="S35" s="400"/>
      <c r="T35" s="400"/>
      <c r="U35" s="400"/>
      <c r="V35" s="23"/>
    </row>
    <row r="36" spans="1:38" s="16" customFormat="1" ht="35.25" customHeight="1" x14ac:dyDescent="0.2">
      <c r="A36" s="26"/>
      <c r="B36" s="23"/>
      <c r="C36" s="27">
        <f t="shared" si="0"/>
        <v>4</v>
      </c>
      <c r="D36" s="400" t="s">
        <v>72</v>
      </c>
      <c r="E36" s="400"/>
      <c r="F36" s="400"/>
      <c r="G36" s="400"/>
      <c r="H36" s="400"/>
      <c r="I36" s="400"/>
      <c r="J36" s="400"/>
      <c r="K36" s="400"/>
      <c r="L36" s="400"/>
      <c r="M36" s="400"/>
      <c r="N36" s="400"/>
      <c r="O36" s="400"/>
      <c r="P36" s="400"/>
      <c r="Q36" s="400"/>
      <c r="R36" s="400"/>
      <c r="S36" s="400"/>
      <c r="T36" s="400"/>
      <c r="U36" s="400"/>
      <c r="V36" s="23"/>
    </row>
    <row r="37" spans="1:38" s="16" customFormat="1" ht="35.25" customHeight="1" x14ac:dyDescent="0.2">
      <c r="A37" s="26"/>
      <c r="B37" s="23"/>
      <c r="C37" s="27">
        <f t="shared" si="0"/>
        <v>5</v>
      </c>
      <c r="D37" s="400" t="s">
        <v>73</v>
      </c>
      <c r="E37" s="400"/>
      <c r="F37" s="400"/>
      <c r="G37" s="400"/>
      <c r="H37" s="400"/>
      <c r="I37" s="400"/>
      <c r="J37" s="400"/>
      <c r="K37" s="400"/>
      <c r="L37" s="400"/>
      <c r="M37" s="400"/>
      <c r="N37" s="400"/>
      <c r="O37" s="400"/>
      <c r="P37" s="400"/>
      <c r="Q37" s="400"/>
      <c r="R37" s="400"/>
      <c r="S37" s="400"/>
      <c r="T37" s="400"/>
      <c r="U37" s="400"/>
      <c r="V37" s="23"/>
    </row>
    <row r="38" spans="1:38" s="16" customFormat="1" ht="32.25" customHeight="1" x14ac:dyDescent="0.2">
      <c r="A38" s="26"/>
      <c r="B38" s="23"/>
      <c r="C38" s="28">
        <f t="shared" si="0"/>
        <v>6</v>
      </c>
      <c r="D38" s="408" t="s">
        <v>74</v>
      </c>
      <c r="E38" s="408"/>
      <c r="F38" s="408"/>
      <c r="G38" s="408"/>
      <c r="H38" s="408"/>
      <c r="I38" s="408"/>
      <c r="J38" s="408"/>
      <c r="K38" s="408"/>
      <c r="L38" s="408"/>
      <c r="M38" s="408"/>
      <c r="N38" s="408"/>
      <c r="O38" s="408"/>
      <c r="P38" s="408"/>
      <c r="Q38" s="408"/>
      <c r="R38" s="408"/>
      <c r="S38" s="408"/>
      <c r="T38" s="408"/>
      <c r="U38" s="408"/>
      <c r="V38" s="23"/>
    </row>
    <row r="39" spans="1:38" s="16" customFormat="1" ht="32.25" customHeight="1" x14ac:dyDescent="0.2">
      <c r="A39" s="26"/>
      <c r="B39" s="23"/>
      <c r="C39" s="28">
        <f t="shared" si="0"/>
        <v>7</v>
      </c>
      <c r="D39" s="408" t="s">
        <v>75</v>
      </c>
      <c r="E39" s="408"/>
      <c r="F39" s="408"/>
      <c r="G39" s="408"/>
      <c r="H39" s="408"/>
      <c r="I39" s="408"/>
      <c r="J39" s="408"/>
      <c r="K39" s="408"/>
      <c r="L39" s="408"/>
      <c r="M39" s="408"/>
      <c r="N39" s="408"/>
      <c r="O39" s="408"/>
      <c r="P39" s="408"/>
      <c r="Q39" s="408"/>
      <c r="R39" s="408"/>
      <c r="S39" s="408"/>
      <c r="T39" s="408"/>
      <c r="U39" s="408"/>
      <c r="V39" s="23"/>
    </row>
    <row r="40" spans="1:38" s="16" customFormat="1" ht="32.25" customHeight="1" x14ac:dyDescent="0.2">
      <c r="A40" s="26"/>
      <c r="B40" s="23"/>
      <c r="C40" s="28">
        <f t="shared" si="0"/>
        <v>8</v>
      </c>
      <c r="D40" s="408" t="s">
        <v>76</v>
      </c>
      <c r="E40" s="408"/>
      <c r="F40" s="408"/>
      <c r="G40" s="408"/>
      <c r="H40" s="408"/>
      <c r="I40" s="408"/>
      <c r="J40" s="408"/>
      <c r="K40" s="408"/>
      <c r="L40" s="408"/>
      <c r="M40" s="408"/>
      <c r="N40" s="408"/>
      <c r="O40" s="408"/>
      <c r="P40" s="408"/>
      <c r="Q40" s="408"/>
      <c r="R40" s="408"/>
      <c r="S40" s="408"/>
      <c r="T40" s="408"/>
      <c r="U40" s="408"/>
      <c r="V40" s="23"/>
    </row>
    <row r="41" spans="1:38" s="16" customFormat="1" ht="32.25" customHeight="1" x14ac:dyDescent="0.2">
      <c r="A41" s="26"/>
      <c r="B41" s="23"/>
      <c r="C41" s="28">
        <f t="shared" si="0"/>
        <v>9</v>
      </c>
      <c r="D41" s="408" t="s">
        <v>77</v>
      </c>
      <c r="E41" s="408"/>
      <c r="F41" s="408"/>
      <c r="G41" s="408"/>
      <c r="H41" s="408"/>
      <c r="I41" s="408"/>
      <c r="J41" s="408"/>
      <c r="K41" s="408"/>
      <c r="L41" s="408"/>
      <c r="M41" s="408"/>
      <c r="N41" s="408"/>
      <c r="O41" s="408"/>
      <c r="P41" s="408"/>
      <c r="Q41" s="408"/>
      <c r="R41" s="408"/>
      <c r="S41" s="408"/>
      <c r="T41" s="408"/>
      <c r="U41" s="408"/>
      <c r="V41" s="23"/>
    </row>
    <row r="42" spans="1:38" s="16" customFormat="1" ht="34.5" customHeight="1" x14ac:dyDescent="0.2">
      <c r="A42" s="26"/>
      <c r="B42" s="23"/>
      <c r="C42" s="28">
        <f t="shared" si="0"/>
        <v>10</v>
      </c>
      <c r="D42" s="408" t="s">
        <v>78</v>
      </c>
      <c r="E42" s="408"/>
      <c r="F42" s="408"/>
      <c r="G42" s="408"/>
      <c r="H42" s="408"/>
      <c r="I42" s="408"/>
      <c r="J42" s="408"/>
      <c r="K42" s="408"/>
      <c r="L42" s="408"/>
      <c r="M42" s="408"/>
      <c r="N42" s="408"/>
      <c r="O42" s="408"/>
      <c r="P42" s="408"/>
      <c r="Q42" s="408"/>
      <c r="R42" s="408"/>
      <c r="S42" s="408"/>
      <c r="T42" s="408"/>
      <c r="U42" s="408"/>
      <c r="V42" s="23"/>
    </row>
    <row r="43" spans="1:38" s="16" customFormat="1" ht="34.5" customHeight="1" x14ac:dyDescent="0.2">
      <c r="A43" s="26"/>
      <c r="B43" s="23"/>
      <c r="C43" s="28">
        <f t="shared" si="0"/>
        <v>11</v>
      </c>
      <c r="D43" s="408" t="s">
        <v>79</v>
      </c>
      <c r="E43" s="408"/>
      <c r="F43" s="408"/>
      <c r="G43" s="408"/>
      <c r="H43" s="408"/>
      <c r="I43" s="408"/>
      <c r="J43" s="408"/>
      <c r="K43" s="408"/>
      <c r="L43" s="408"/>
      <c r="M43" s="408"/>
      <c r="N43" s="408"/>
      <c r="O43" s="408"/>
      <c r="P43" s="408"/>
      <c r="Q43" s="408"/>
      <c r="R43" s="408"/>
      <c r="S43" s="408"/>
      <c r="T43" s="408"/>
      <c r="U43" s="408"/>
      <c r="V43" s="23"/>
    </row>
    <row r="44" spans="1:38" s="16" customFormat="1" ht="48.75" customHeight="1" x14ac:dyDescent="0.2">
      <c r="A44" s="26"/>
      <c r="B44" s="23"/>
      <c r="C44" s="28">
        <f t="shared" si="0"/>
        <v>12</v>
      </c>
      <c r="D44" s="408" t="s">
        <v>80</v>
      </c>
      <c r="E44" s="408"/>
      <c r="F44" s="408"/>
      <c r="G44" s="408"/>
      <c r="H44" s="408"/>
      <c r="I44" s="408"/>
      <c r="J44" s="408"/>
      <c r="K44" s="408"/>
      <c r="L44" s="408"/>
      <c r="M44" s="408"/>
      <c r="N44" s="408"/>
      <c r="O44" s="408"/>
      <c r="P44" s="408"/>
      <c r="Q44" s="408"/>
      <c r="R44" s="408"/>
      <c r="S44" s="408"/>
      <c r="T44" s="408"/>
      <c r="U44" s="408"/>
      <c r="V44" s="23"/>
    </row>
    <row r="45" spans="1:38" s="16" customFormat="1" ht="34.5" customHeight="1" x14ac:dyDescent="0.2">
      <c r="A45" s="26"/>
      <c r="B45" s="23"/>
      <c r="C45" s="28">
        <f t="shared" si="0"/>
        <v>13</v>
      </c>
      <c r="D45" s="408" t="s">
        <v>81</v>
      </c>
      <c r="E45" s="408"/>
      <c r="F45" s="408"/>
      <c r="G45" s="408"/>
      <c r="H45" s="408"/>
      <c r="I45" s="408"/>
      <c r="J45" s="408"/>
      <c r="K45" s="408"/>
      <c r="L45" s="408"/>
      <c r="M45" s="408"/>
      <c r="N45" s="408"/>
      <c r="O45" s="408"/>
      <c r="P45" s="408"/>
      <c r="Q45" s="408"/>
      <c r="R45" s="408"/>
      <c r="S45" s="408"/>
      <c r="T45" s="408"/>
      <c r="U45" s="408"/>
      <c r="V45" s="400"/>
      <c r="W45" s="400"/>
      <c r="X45" s="400"/>
      <c r="Y45" s="400"/>
      <c r="Z45" s="400"/>
      <c r="AA45" s="400"/>
      <c r="AB45" s="400"/>
      <c r="AC45" s="400"/>
      <c r="AD45" s="400"/>
      <c r="AE45" s="400"/>
      <c r="AF45" s="400"/>
      <c r="AG45" s="400"/>
      <c r="AH45" s="400"/>
      <c r="AI45" s="400"/>
      <c r="AJ45" s="400"/>
      <c r="AK45" s="400"/>
      <c r="AL45" s="400"/>
    </row>
    <row r="46" spans="1:38" s="16" customFormat="1" ht="45.75" customHeight="1" x14ac:dyDescent="0.2">
      <c r="A46" s="26"/>
      <c r="B46" s="23"/>
      <c r="C46" s="28">
        <f t="shared" si="0"/>
        <v>14</v>
      </c>
      <c r="D46" s="408" t="s">
        <v>82</v>
      </c>
      <c r="E46" s="408"/>
      <c r="F46" s="408"/>
      <c r="G46" s="408"/>
      <c r="H46" s="408"/>
      <c r="I46" s="408"/>
      <c r="J46" s="408"/>
      <c r="K46" s="408"/>
      <c r="L46" s="408"/>
      <c r="M46" s="408"/>
      <c r="N46" s="408"/>
      <c r="O46" s="408"/>
      <c r="P46" s="408"/>
      <c r="Q46" s="408"/>
      <c r="R46" s="408"/>
      <c r="S46" s="408"/>
      <c r="T46" s="408"/>
      <c r="U46" s="408"/>
      <c r="V46" s="17"/>
      <c r="W46" s="17"/>
      <c r="X46" s="17"/>
      <c r="Y46" s="17"/>
      <c r="Z46" s="17"/>
      <c r="AA46" s="17"/>
      <c r="AB46" s="17"/>
      <c r="AC46" s="17"/>
      <c r="AD46" s="17"/>
      <c r="AE46" s="17"/>
      <c r="AF46" s="17"/>
      <c r="AG46" s="17"/>
      <c r="AH46" s="17"/>
      <c r="AI46" s="17"/>
      <c r="AJ46" s="17"/>
      <c r="AK46" s="17"/>
      <c r="AL46" s="17"/>
    </row>
    <row r="47" spans="1:38" s="16" customFormat="1" ht="36" customHeight="1" x14ac:dyDescent="0.2">
      <c r="A47" s="26"/>
      <c r="B47" s="23"/>
      <c r="C47" s="28">
        <f t="shared" si="0"/>
        <v>15</v>
      </c>
      <c r="D47" s="408" t="s">
        <v>83</v>
      </c>
      <c r="E47" s="408"/>
      <c r="F47" s="408"/>
      <c r="G47" s="408"/>
      <c r="H47" s="408"/>
      <c r="I47" s="408"/>
      <c r="J47" s="408"/>
      <c r="K47" s="408"/>
      <c r="L47" s="408"/>
      <c r="M47" s="408"/>
      <c r="N47" s="408"/>
      <c r="O47" s="408"/>
      <c r="P47" s="408"/>
      <c r="Q47" s="408"/>
      <c r="R47" s="408"/>
      <c r="S47" s="408"/>
      <c r="T47" s="408"/>
      <c r="U47" s="408"/>
      <c r="V47" s="17"/>
      <c r="W47" s="17"/>
      <c r="X47" s="17"/>
      <c r="Y47" s="17"/>
      <c r="Z47" s="17"/>
      <c r="AA47" s="17"/>
      <c r="AB47" s="17"/>
      <c r="AC47" s="17"/>
      <c r="AD47" s="17"/>
      <c r="AE47" s="17"/>
      <c r="AF47" s="17"/>
      <c r="AG47" s="17"/>
      <c r="AH47" s="17"/>
      <c r="AI47" s="17"/>
      <c r="AJ47" s="17"/>
      <c r="AK47" s="17"/>
      <c r="AL47" s="17"/>
    </row>
    <row r="48" spans="1:38" s="16" customFormat="1" ht="48" customHeight="1" x14ac:dyDescent="0.2">
      <c r="A48" s="26"/>
      <c r="B48" s="23"/>
      <c r="C48" s="28">
        <f t="shared" si="0"/>
        <v>16</v>
      </c>
      <c r="D48" s="408" t="s">
        <v>84</v>
      </c>
      <c r="E48" s="408"/>
      <c r="F48" s="408"/>
      <c r="G48" s="408"/>
      <c r="H48" s="408"/>
      <c r="I48" s="408"/>
      <c r="J48" s="408"/>
      <c r="K48" s="408"/>
      <c r="L48" s="408"/>
      <c r="M48" s="408"/>
      <c r="N48" s="408"/>
      <c r="O48" s="408"/>
      <c r="P48" s="408"/>
      <c r="Q48" s="408"/>
      <c r="R48" s="408"/>
      <c r="S48" s="408"/>
      <c r="T48" s="408"/>
      <c r="U48" s="408"/>
      <c r="V48" s="23"/>
    </row>
    <row r="49" spans="1:38" s="16" customFormat="1" ht="33.75" customHeight="1" x14ac:dyDescent="0.2">
      <c r="A49" s="26"/>
      <c r="B49" s="23"/>
      <c r="C49" s="28">
        <f t="shared" si="0"/>
        <v>17</v>
      </c>
      <c r="D49" s="408" t="s">
        <v>85</v>
      </c>
      <c r="E49" s="408"/>
      <c r="F49" s="408"/>
      <c r="G49" s="408"/>
      <c r="H49" s="408"/>
      <c r="I49" s="408"/>
      <c r="J49" s="408"/>
      <c r="K49" s="408"/>
      <c r="L49" s="408"/>
      <c r="M49" s="408"/>
      <c r="N49" s="408"/>
      <c r="O49" s="408"/>
      <c r="P49" s="408"/>
      <c r="Q49" s="408"/>
      <c r="R49" s="408"/>
      <c r="S49" s="408"/>
      <c r="T49" s="408"/>
      <c r="U49" s="408"/>
      <c r="V49" s="23"/>
    </row>
    <row r="50" spans="1:38" s="16" customFormat="1" ht="75.75" customHeight="1" x14ac:dyDescent="0.2">
      <c r="A50" s="26"/>
      <c r="B50" s="23"/>
      <c r="C50" s="28">
        <f t="shared" si="0"/>
        <v>18</v>
      </c>
      <c r="D50" s="408" t="s">
        <v>86</v>
      </c>
      <c r="E50" s="408"/>
      <c r="F50" s="408"/>
      <c r="G50" s="408"/>
      <c r="H50" s="408"/>
      <c r="I50" s="408"/>
      <c r="J50" s="408"/>
      <c r="K50" s="408"/>
      <c r="L50" s="408"/>
      <c r="M50" s="408"/>
      <c r="N50" s="408"/>
      <c r="O50" s="408"/>
      <c r="P50" s="408"/>
      <c r="Q50" s="408"/>
      <c r="R50" s="408"/>
      <c r="S50" s="408"/>
      <c r="T50" s="408"/>
      <c r="U50" s="408"/>
      <c r="V50" s="23"/>
    </row>
    <row r="51" spans="1:38" s="16" customFormat="1" ht="30" customHeight="1" x14ac:dyDescent="0.2">
      <c r="A51" s="26"/>
      <c r="B51" s="23"/>
      <c r="C51" s="28">
        <f t="shared" si="0"/>
        <v>19</v>
      </c>
      <c r="D51" s="408" t="s">
        <v>87</v>
      </c>
      <c r="E51" s="408"/>
      <c r="F51" s="408"/>
      <c r="G51" s="408"/>
      <c r="H51" s="408"/>
      <c r="I51" s="408"/>
      <c r="J51" s="408"/>
      <c r="K51" s="408"/>
      <c r="L51" s="408"/>
      <c r="M51" s="408"/>
      <c r="N51" s="408"/>
      <c r="O51" s="408"/>
      <c r="P51" s="408"/>
      <c r="Q51" s="408"/>
      <c r="R51" s="408"/>
      <c r="S51" s="408"/>
      <c r="T51" s="408"/>
      <c r="U51" s="408"/>
      <c r="V51" s="23"/>
    </row>
    <row r="52" spans="1:38" s="16" customFormat="1" ht="30.75" customHeight="1" x14ac:dyDescent="0.2">
      <c r="A52" s="26"/>
      <c r="B52" s="23"/>
      <c r="C52" s="27">
        <f t="shared" si="0"/>
        <v>20</v>
      </c>
      <c r="D52" s="400" t="s">
        <v>88</v>
      </c>
      <c r="E52" s="400"/>
      <c r="F52" s="400"/>
      <c r="G52" s="400"/>
      <c r="H52" s="400"/>
      <c r="I52" s="400"/>
      <c r="J52" s="400"/>
      <c r="K52" s="400"/>
      <c r="L52" s="400"/>
      <c r="M52" s="400"/>
      <c r="N52" s="400"/>
      <c r="O52" s="400"/>
      <c r="P52" s="400"/>
      <c r="Q52" s="400"/>
      <c r="R52" s="400"/>
      <c r="S52" s="400"/>
      <c r="T52" s="400"/>
      <c r="U52" s="400"/>
      <c r="V52" s="794"/>
      <c r="W52" s="794"/>
      <c r="X52" s="794"/>
      <c r="Y52" s="794"/>
      <c r="Z52" s="794"/>
      <c r="AA52" s="794"/>
      <c r="AB52" s="794"/>
      <c r="AC52" s="794"/>
      <c r="AD52" s="794"/>
      <c r="AE52" s="794"/>
      <c r="AF52" s="794"/>
      <c r="AG52" s="794"/>
      <c r="AH52" s="794"/>
      <c r="AI52" s="794"/>
      <c r="AJ52" s="794"/>
      <c r="AK52" s="794"/>
      <c r="AL52" s="794"/>
    </row>
    <row r="53" spans="1:38" s="16" customFormat="1" ht="30" customHeight="1" x14ac:dyDescent="0.2">
      <c r="A53" s="26"/>
      <c r="B53" s="23"/>
      <c r="C53" s="27">
        <f t="shared" si="0"/>
        <v>21</v>
      </c>
      <c r="D53" s="400" t="s">
        <v>89</v>
      </c>
      <c r="E53" s="400"/>
      <c r="F53" s="400"/>
      <c r="G53" s="400"/>
      <c r="H53" s="400"/>
      <c r="I53" s="400"/>
      <c r="J53" s="400"/>
      <c r="K53" s="400"/>
      <c r="L53" s="400"/>
      <c r="M53" s="400"/>
      <c r="N53" s="400"/>
      <c r="O53" s="400"/>
      <c r="P53" s="400"/>
      <c r="Q53" s="400"/>
      <c r="R53" s="400"/>
      <c r="S53" s="400"/>
      <c r="T53" s="400"/>
      <c r="U53" s="400"/>
      <c r="V53" s="794"/>
      <c r="W53" s="794"/>
      <c r="X53" s="794"/>
      <c r="Y53" s="794"/>
      <c r="Z53" s="794"/>
      <c r="AA53" s="794"/>
      <c r="AB53" s="794"/>
      <c r="AC53" s="794"/>
      <c r="AD53" s="794"/>
      <c r="AE53" s="794"/>
      <c r="AF53" s="794"/>
      <c r="AG53" s="794"/>
      <c r="AH53" s="794"/>
      <c r="AI53" s="794"/>
      <c r="AJ53" s="794"/>
      <c r="AK53" s="794"/>
      <c r="AL53" s="794"/>
    </row>
    <row r="54" spans="1:38" s="16" customFormat="1" ht="47.25" customHeight="1" x14ac:dyDescent="0.2">
      <c r="A54" s="26"/>
      <c r="B54" s="23"/>
      <c r="C54" s="27">
        <f t="shared" si="0"/>
        <v>22</v>
      </c>
      <c r="D54" s="408" t="s">
        <v>90</v>
      </c>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408"/>
    </row>
    <row r="55" spans="1:38" s="16" customFormat="1" ht="30.75" customHeight="1" x14ac:dyDescent="0.2">
      <c r="A55" s="26"/>
      <c r="B55" s="23"/>
      <c r="C55" s="27">
        <f t="shared" si="0"/>
        <v>23</v>
      </c>
      <c r="D55" s="400" t="s">
        <v>91</v>
      </c>
      <c r="E55" s="400"/>
      <c r="F55" s="400"/>
      <c r="G55" s="400"/>
      <c r="H55" s="400"/>
      <c r="I55" s="400"/>
      <c r="J55" s="400"/>
      <c r="K55" s="400"/>
      <c r="L55" s="400"/>
      <c r="M55" s="400"/>
      <c r="N55" s="400"/>
      <c r="O55" s="400"/>
      <c r="P55" s="400"/>
      <c r="Q55" s="400"/>
      <c r="R55" s="400"/>
      <c r="S55" s="400"/>
      <c r="T55" s="400"/>
      <c r="U55" s="400"/>
      <c r="V55" s="23"/>
    </row>
    <row r="56" spans="1:38" s="16" customFormat="1" ht="45" customHeight="1" x14ac:dyDescent="0.2">
      <c r="A56" s="26"/>
      <c r="B56" s="23"/>
      <c r="C56" s="27">
        <f t="shared" si="0"/>
        <v>24</v>
      </c>
      <c r="D56" s="408" t="s">
        <v>92</v>
      </c>
      <c r="E56" s="408"/>
      <c r="F56" s="408"/>
      <c r="G56" s="408"/>
      <c r="H56" s="408"/>
      <c r="I56" s="408"/>
      <c r="J56" s="408"/>
      <c r="K56" s="408"/>
      <c r="L56" s="408"/>
      <c r="M56" s="408"/>
      <c r="N56" s="408"/>
      <c r="O56" s="408"/>
      <c r="P56" s="408"/>
      <c r="Q56" s="408"/>
      <c r="R56" s="408"/>
      <c r="S56" s="408"/>
      <c r="T56" s="408"/>
      <c r="U56" s="408"/>
      <c r="V56" s="23"/>
    </row>
    <row r="57" spans="1:38" s="16" customFormat="1" ht="14.25" customHeight="1" x14ac:dyDescent="0.2">
      <c r="A57" s="26"/>
      <c r="B57" s="23"/>
      <c r="C57" s="17"/>
      <c r="D57" s="17"/>
      <c r="E57" s="17"/>
      <c r="F57" s="17"/>
      <c r="G57" s="17"/>
      <c r="H57" s="17"/>
      <c r="I57" s="17"/>
      <c r="J57" s="17"/>
      <c r="K57" s="17"/>
      <c r="L57" s="17"/>
      <c r="M57" s="17"/>
      <c r="N57" s="17"/>
      <c r="O57" s="17"/>
      <c r="P57" s="17"/>
      <c r="Q57" s="17"/>
      <c r="R57" s="17"/>
      <c r="S57" s="17"/>
      <c r="T57" s="17"/>
      <c r="U57" s="29"/>
      <c r="V57" s="23"/>
    </row>
    <row r="58" spans="1:38" s="16" customFormat="1" ht="18.75" customHeight="1" x14ac:dyDescent="0.2">
      <c r="A58" s="429"/>
      <c r="B58" s="30" t="s">
        <v>93</v>
      </c>
      <c r="C58" s="1316" t="s">
        <v>94</v>
      </c>
      <c r="D58" s="400"/>
      <c r="E58" s="400"/>
      <c r="F58" s="400"/>
      <c r="G58" s="400"/>
      <c r="H58" s="400"/>
      <c r="I58" s="400"/>
      <c r="J58" s="400"/>
      <c r="K58" s="400"/>
      <c r="L58" s="400"/>
      <c r="M58" s="400"/>
      <c r="N58" s="400"/>
      <c r="O58" s="400"/>
      <c r="P58" s="400"/>
      <c r="Q58" s="400"/>
      <c r="R58" s="400"/>
      <c r="S58" s="400"/>
      <c r="T58" s="400"/>
      <c r="U58" s="29"/>
      <c r="V58" s="23"/>
    </row>
    <row r="59" spans="1:38" s="16" customFormat="1" ht="93" customHeight="1" x14ac:dyDescent="0.2">
      <c r="A59" s="429"/>
      <c r="B59" s="23"/>
      <c r="C59" s="400" t="s">
        <v>969</v>
      </c>
      <c r="D59" s="400"/>
      <c r="E59" s="400"/>
      <c r="F59" s="400"/>
      <c r="G59" s="400"/>
      <c r="H59" s="400"/>
      <c r="I59" s="400"/>
      <c r="J59" s="400"/>
      <c r="K59" s="400"/>
      <c r="L59" s="400"/>
      <c r="M59" s="400"/>
      <c r="N59" s="400"/>
      <c r="O59" s="400"/>
      <c r="P59" s="400"/>
      <c r="Q59" s="400"/>
      <c r="R59" s="400"/>
      <c r="S59" s="400"/>
      <c r="T59" s="400"/>
      <c r="U59" s="400"/>
      <c r="V59" s="23"/>
    </row>
    <row r="60" spans="1:38" s="16" customFormat="1" ht="18.75" customHeight="1" x14ac:dyDescent="0.2">
      <c r="A60" s="26"/>
      <c r="C60" s="1316" t="s">
        <v>95</v>
      </c>
      <c r="D60" s="1316"/>
      <c r="E60" s="1316"/>
      <c r="F60" s="1316"/>
      <c r="G60" s="1316"/>
      <c r="H60" s="1316"/>
      <c r="I60" s="1316"/>
      <c r="J60" s="1316"/>
      <c r="K60" s="1316"/>
      <c r="L60" s="1316"/>
      <c r="M60" s="1316"/>
      <c r="N60" s="1316"/>
      <c r="O60" s="1316"/>
      <c r="P60" s="1316"/>
      <c r="Q60" s="1316"/>
      <c r="R60" s="1316"/>
      <c r="S60" s="1316"/>
      <c r="T60" s="1316"/>
      <c r="U60" s="29"/>
      <c r="V60" s="23"/>
    </row>
    <row r="61" spans="1:38" s="16" customFormat="1" ht="16.5" customHeight="1" x14ac:dyDescent="0.2">
      <c r="A61" s="26"/>
      <c r="C61" s="400" t="s">
        <v>96</v>
      </c>
      <c r="D61" s="400"/>
      <c r="E61" s="400"/>
      <c r="F61" s="400"/>
      <c r="G61" s="400"/>
      <c r="H61" s="400"/>
      <c r="I61" s="400"/>
      <c r="J61" s="400"/>
      <c r="K61" s="400"/>
      <c r="L61" s="400"/>
      <c r="M61" s="400"/>
      <c r="N61" s="400"/>
      <c r="O61" s="400"/>
      <c r="P61" s="400"/>
      <c r="Q61" s="400"/>
      <c r="R61" s="400"/>
      <c r="S61" s="400"/>
      <c r="T61" s="400"/>
      <c r="V61" s="23"/>
    </row>
    <row r="62" spans="1:38" s="16" customFormat="1" ht="16.5" customHeight="1" x14ac:dyDescent="0.2">
      <c r="A62" s="26"/>
      <c r="C62" s="400" t="s">
        <v>97</v>
      </c>
      <c r="D62" s="400"/>
      <c r="E62" s="400"/>
      <c r="F62" s="400"/>
      <c r="G62" s="400"/>
      <c r="H62" s="400"/>
      <c r="I62" s="400"/>
      <c r="J62" s="400"/>
      <c r="K62" s="400"/>
      <c r="L62" s="400"/>
      <c r="M62" s="400"/>
      <c r="N62" s="400"/>
      <c r="O62" s="400"/>
      <c r="P62" s="400"/>
      <c r="Q62" s="400"/>
      <c r="R62" s="400"/>
      <c r="S62" s="400"/>
      <c r="T62" s="400"/>
      <c r="V62" s="23"/>
    </row>
    <row r="63" spans="1:38" s="16" customFormat="1" ht="21" customHeight="1" x14ac:dyDescent="0.2">
      <c r="A63" s="26"/>
      <c r="C63" s="400" t="s">
        <v>98</v>
      </c>
      <c r="D63" s="400"/>
      <c r="E63" s="400"/>
      <c r="F63" s="400"/>
      <c r="G63" s="400"/>
      <c r="H63" s="400"/>
      <c r="I63" s="400"/>
      <c r="J63" s="400"/>
      <c r="K63" s="400"/>
      <c r="L63" s="400"/>
      <c r="M63" s="400"/>
      <c r="N63" s="400"/>
      <c r="O63" s="400"/>
      <c r="P63" s="400"/>
      <c r="Q63" s="400"/>
      <c r="R63" s="400"/>
      <c r="S63" s="400"/>
      <c r="T63" s="400"/>
      <c r="V63" s="23"/>
    </row>
    <row r="64" spans="1:38" s="16" customFormat="1" ht="16.5" customHeight="1" x14ac:dyDescent="0.2">
      <c r="A64" s="26"/>
      <c r="C64" s="1316" t="s">
        <v>99</v>
      </c>
      <c r="D64" s="1316"/>
      <c r="E64" s="1316"/>
      <c r="F64" s="1316"/>
      <c r="G64" s="1316"/>
      <c r="H64" s="1316"/>
      <c r="I64" s="1316"/>
      <c r="J64" s="1316"/>
      <c r="K64" s="1316"/>
      <c r="L64" s="1316"/>
      <c r="M64" s="1316"/>
      <c r="N64" s="1316"/>
      <c r="O64" s="1316"/>
      <c r="P64" s="1316"/>
      <c r="Q64" s="1316"/>
      <c r="R64" s="1316"/>
      <c r="S64" s="1316"/>
      <c r="T64" s="1316"/>
      <c r="U64" s="29"/>
      <c r="V64" s="23"/>
    </row>
    <row r="65" spans="1:22" s="16" customFormat="1" ht="16.5" customHeight="1" x14ac:dyDescent="0.2">
      <c r="A65" s="26"/>
      <c r="C65" s="24" t="s">
        <v>100</v>
      </c>
      <c r="D65" s="1323" t="s">
        <v>101</v>
      </c>
      <c r="E65" s="1323"/>
      <c r="F65" s="1323"/>
      <c r="G65" s="1323"/>
      <c r="H65" s="1323"/>
      <c r="I65" s="1323"/>
      <c r="J65" s="1323"/>
      <c r="K65" s="1323"/>
      <c r="L65" s="1323"/>
      <c r="M65" s="1323"/>
      <c r="N65" s="1323"/>
      <c r="O65" s="1323"/>
      <c r="P65" s="1323"/>
      <c r="Q65" s="1323"/>
      <c r="R65" s="1323"/>
      <c r="S65" s="1323"/>
      <c r="T65" s="1323"/>
      <c r="V65" s="23"/>
    </row>
    <row r="66" spans="1:22" s="16" customFormat="1" ht="31.5" customHeight="1" x14ac:dyDescent="0.2">
      <c r="A66" s="26"/>
      <c r="C66" s="31" t="s">
        <v>102</v>
      </c>
      <c r="D66" s="1323" t="s">
        <v>103</v>
      </c>
      <c r="E66" s="1323"/>
      <c r="F66" s="1323"/>
      <c r="G66" s="1323"/>
      <c r="H66" s="1323"/>
      <c r="I66" s="1323"/>
      <c r="J66" s="1323"/>
      <c r="K66" s="1323"/>
      <c r="L66" s="1323"/>
      <c r="M66" s="1323"/>
      <c r="N66" s="1323"/>
      <c r="O66" s="1323"/>
      <c r="P66" s="1323"/>
      <c r="Q66" s="1323"/>
      <c r="R66" s="1323"/>
      <c r="S66" s="1323"/>
      <c r="T66" s="1323"/>
      <c r="V66" s="23"/>
    </row>
    <row r="67" spans="1:22" s="16" customFormat="1" ht="16.5" customHeight="1" x14ac:dyDescent="0.25">
      <c r="A67" s="26"/>
      <c r="C67" s="1316" t="s">
        <v>104</v>
      </c>
      <c r="D67" s="1316"/>
      <c r="E67" s="1316"/>
      <c r="F67" s="1316"/>
      <c r="G67" s="1316"/>
      <c r="H67" s="1316"/>
      <c r="I67" s="1316"/>
      <c r="J67" s="1316"/>
      <c r="K67" s="1316"/>
      <c r="L67" s="1316"/>
      <c r="M67" s="1316"/>
      <c r="N67" s="1316"/>
      <c r="O67" s="1316"/>
      <c r="P67" s="1316"/>
      <c r="Q67" s="1316"/>
      <c r="R67" s="1316"/>
      <c r="S67" s="1316"/>
      <c r="T67" s="1316"/>
      <c r="U67" s="1"/>
      <c r="V67" s="23"/>
    </row>
    <row r="68" spans="1:22" s="16" customFormat="1" ht="16.5" customHeight="1" x14ac:dyDescent="0.2">
      <c r="A68" s="26"/>
      <c r="C68" s="1316" t="s">
        <v>105</v>
      </c>
      <c r="D68" s="1316"/>
      <c r="E68" s="1316"/>
      <c r="F68" s="1316"/>
      <c r="G68" s="1316"/>
      <c r="H68" s="1316"/>
      <c r="I68" s="1316"/>
      <c r="J68" s="1316"/>
      <c r="K68" s="1316"/>
      <c r="L68" s="1316"/>
      <c r="M68" s="1316"/>
      <c r="N68" s="1316"/>
      <c r="O68" s="1316"/>
      <c r="P68" s="1316"/>
      <c r="Q68" s="1316"/>
      <c r="R68" s="1316"/>
      <c r="S68" s="1316"/>
      <c r="T68" s="1316"/>
      <c r="V68" s="23"/>
    </row>
    <row r="69" spans="1:22" s="16" customFormat="1" ht="16.5" customHeight="1" x14ac:dyDescent="0.2">
      <c r="A69" s="26"/>
      <c r="D69" s="400" t="s">
        <v>106</v>
      </c>
      <c r="E69" s="400"/>
      <c r="F69" s="400"/>
      <c r="G69" s="400"/>
      <c r="H69" s="400"/>
      <c r="I69" s="400"/>
      <c r="J69" s="400"/>
      <c r="K69" s="400"/>
      <c r="L69" s="400"/>
      <c r="M69" s="400"/>
      <c r="N69" s="400"/>
      <c r="O69" s="400"/>
      <c r="P69" s="400"/>
      <c r="Q69" s="400"/>
      <c r="R69" s="400"/>
      <c r="S69" s="400"/>
      <c r="T69" s="400"/>
      <c r="U69" s="400"/>
      <c r="V69" s="23"/>
    </row>
    <row r="70" spans="1:22" s="16" customFormat="1" ht="16.5" customHeight="1" x14ac:dyDescent="0.2">
      <c r="A70" s="26"/>
      <c r="D70" s="400" t="s">
        <v>107</v>
      </c>
      <c r="E70" s="400"/>
      <c r="F70" s="400"/>
      <c r="G70" s="400"/>
      <c r="H70" s="400"/>
      <c r="I70" s="400"/>
      <c r="J70" s="400"/>
      <c r="K70" s="400"/>
      <c r="L70" s="400"/>
      <c r="M70" s="400"/>
      <c r="N70" s="400"/>
      <c r="O70" s="400"/>
      <c r="P70" s="400"/>
      <c r="Q70" s="400"/>
      <c r="R70" s="400"/>
      <c r="S70" s="400"/>
      <c r="T70" s="400"/>
      <c r="U70" s="400"/>
      <c r="V70" s="23"/>
    </row>
    <row r="71" spans="1:22" s="16" customFormat="1" ht="16.5" customHeight="1" x14ac:dyDescent="0.2">
      <c r="A71" s="26"/>
      <c r="C71" s="1316" t="s">
        <v>108</v>
      </c>
      <c r="D71" s="1316"/>
      <c r="E71" s="1316"/>
      <c r="F71" s="1316"/>
      <c r="G71" s="1316"/>
      <c r="H71" s="1316"/>
      <c r="I71" s="1316"/>
      <c r="J71" s="1316"/>
      <c r="K71" s="1316"/>
      <c r="L71" s="1316"/>
      <c r="M71" s="1316"/>
      <c r="N71" s="1316"/>
      <c r="O71" s="1316"/>
      <c r="P71" s="1316"/>
      <c r="Q71" s="1316"/>
      <c r="R71" s="1316"/>
      <c r="S71" s="1316"/>
      <c r="T71" s="1316"/>
      <c r="V71" s="23"/>
    </row>
    <row r="72" spans="1:22" s="16" customFormat="1" ht="16.5" customHeight="1" x14ac:dyDescent="0.25">
      <c r="A72" s="26"/>
      <c r="C72" s="1"/>
      <c r="D72" s="400" t="s">
        <v>109</v>
      </c>
      <c r="E72" s="400"/>
      <c r="F72" s="400"/>
      <c r="G72" s="400"/>
      <c r="H72" s="400"/>
      <c r="I72" s="400"/>
      <c r="J72" s="400"/>
      <c r="K72" s="400"/>
      <c r="L72" s="400"/>
      <c r="M72" s="400"/>
      <c r="N72" s="400"/>
      <c r="O72" s="400"/>
      <c r="P72" s="400"/>
      <c r="Q72" s="400"/>
      <c r="R72" s="400"/>
      <c r="S72" s="400"/>
      <c r="T72" s="400"/>
      <c r="U72" s="400"/>
      <c r="V72" s="23"/>
    </row>
    <row r="73" spans="1:22" s="16" customFormat="1" ht="16.5" customHeight="1" x14ac:dyDescent="0.25">
      <c r="A73" s="26"/>
      <c r="C73" s="1"/>
      <c r="D73" s="400" t="s">
        <v>110</v>
      </c>
      <c r="E73" s="400"/>
      <c r="F73" s="400"/>
      <c r="G73" s="400"/>
      <c r="H73" s="400"/>
      <c r="I73" s="400"/>
      <c r="J73" s="400"/>
      <c r="K73" s="400"/>
      <c r="L73" s="400"/>
      <c r="M73" s="400"/>
      <c r="N73" s="400"/>
      <c r="O73" s="400"/>
      <c r="P73" s="400"/>
      <c r="Q73" s="400"/>
      <c r="R73" s="400"/>
      <c r="S73" s="400"/>
      <c r="T73" s="400"/>
      <c r="U73" s="400"/>
      <c r="V73" s="23"/>
    </row>
    <row r="74" spans="1:22" s="16" customFormat="1" ht="16.5" customHeight="1" x14ac:dyDescent="0.25">
      <c r="A74" s="26"/>
      <c r="C74" s="1"/>
      <c r="D74" s="400" t="s">
        <v>111</v>
      </c>
      <c r="E74" s="400"/>
      <c r="F74" s="400"/>
      <c r="G74" s="400"/>
      <c r="H74" s="400"/>
      <c r="I74" s="400"/>
      <c r="J74" s="400"/>
      <c r="K74" s="400"/>
      <c r="L74" s="400"/>
      <c r="M74" s="400"/>
      <c r="N74" s="400"/>
      <c r="O74" s="400"/>
      <c r="P74" s="400"/>
      <c r="Q74" s="400"/>
      <c r="R74" s="400"/>
      <c r="S74" s="400"/>
      <c r="T74" s="400"/>
      <c r="U74" s="400"/>
      <c r="V74" s="23"/>
    </row>
    <row r="75" spans="1:22" s="16" customFormat="1" ht="16.5" customHeight="1" x14ac:dyDescent="0.2">
      <c r="A75" s="26"/>
      <c r="C75" s="1316" t="s">
        <v>112</v>
      </c>
      <c r="D75" s="1316"/>
      <c r="E75" s="1316"/>
      <c r="F75" s="1316"/>
      <c r="G75" s="1316"/>
      <c r="H75" s="1316"/>
      <c r="I75" s="1316"/>
      <c r="J75" s="1316"/>
      <c r="K75" s="1316"/>
      <c r="L75" s="1316"/>
      <c r="M75" s="1316"/>
      <c r="N75" s="1316"/>
      <c r="O75" s="1316"/>
      <c r="P75" s="1316"/>
      <c r="Q75" s="1316"/>
      <c r="R75" s="1316"/>
      <c r="S75" s="1316"/>
      <c r="T75" s="1316"/>
      <c r="V75" s="23"/>
    </row>
    <row r="76" spans="1:22" s="16" customFormat="1" ht="16.5" customHeight="1" x14ac:dyDescent="0.25">
      <c r="A76" s="26"/>
      <c r="C76" s="1"/>
      <c r="D76" s="400" t="s">
        <v>113</v>
      </c>
      <c r="E76" s="400"/>
      <c r="F76" s="400"/>
      <c r="G76" s="400"/>
      <c r="H76" s="400"/>
      <c r="I76" s="400"/>
      <c r="J76" s="400"/>
      <c r="K76" s="400"/>
      <c r="L76" s="400"/>
      <c r="M76" s="400"/>
      <c r="N76" s="400"/>
      <c r="O76" s="400"/>
      <c r="P76" s="400"/>
      <c r="Q76" s="400"/>
      <c r="R76" s="400"/>
      <c r="S76" s="400"/>
      <c r="T76" s="400"/>
      <c r="U76" s="400"/>
      <c r="V76" s="23"/>
    </row>
    <row r="77" spans="1:22" s="16" customFormat="1" ht="16.5" customHeight="1" x14ac:dyDescent="0.25">
      <c r="A77" s="26"/>
      <c r="C77" s="1"/>
      <c r="D77" s="400" t="s">
        <v>114</v>
      </c>
      <c r="E77" s="400"/>
      <c r="F77" s="400"/>
      <c r="G77" s="400"/>
      <c r="H77" s="400"/>
      <c r="I77" s="400"/>
      <c r="J77" s="400"/>
      <c r="K77" s="400"/>
      <c r="L77" s="400"/>
      <c r="M77" s="400"/>
      <c r="N77" s="400"/>
      <c r="O77" s="400"/>
      <c r="P77" s="400"/>
      <c r="Q77" s="400"/>
      <c r="R77" s="400"/>
      <c r="S77" s="400"/>
      <c r="T77" s="400"/>
      <c r="U77" s="400"/>
      <c r="V77" s="23"/>
    </row>
    <row r="78" spans="1:22" s="16" customFormat="1" ht="16.5" customHeight="1" x14ac:dyDescent="0.25">
      <c r="A78" s="26"/>
      <c r="C78" s="1"/>
      <c r="D78" s="400" t="s">
        <v>115</v>
      </c>
      <c r="E78" s="400"/>
      <c r="F78" s="400"/>
      <c r="G78" s="400"/>
      <c r="H78" s="400"/>
      <c r="I78" s="400"/>
      <c r="J78" s="400"/>
      <c r="K78" s="400"/>
      <c r="L78" s="400"/>
      <c r="M78" s="400"/>
      <c r="N78" s="400"/>
      <c r="O78" s="400"/>
      <c r="P78" s="400"/>
      <c r="Q78" s="400"/>
      <c r="R78" s="400"/>
      <c r="S78" s="400"/>
      <c r="T78" s="400"/>
      <c r="U78" s="400"/>
      <c r="V78" s="23"/>
    </row>
    <row r="79" spans="1:22" s="16" customFormat="1" ht="16.5" customHeight="1" x14ac:dyDescent="0.2">
      <c r="A79" s="26"/>
      <c r="C79" s="1316" t="s">
        <v>116</v>
      </c>
      <c r="D79" s="1316"/>
      <c r="E79" s="1316"/>
      <c r="F79" s="1316"/>
      <c r="G79" s="1316"/>
      <c r="H79" s="1316"/>
      <c r="I79" s="1316"/>
      <c r="J79" s="1316"/>
      <c r="K79" s="1316"/>
      <c r="L79" s="1316"/>
      <c r="M79" s="1316"/>
      <c r="N79" s="1316"/>
      <c r="O79" s="1316"/>
      <c r="P79" s="1316"/>
      <c r="Q79" s="1316"/>
      <c r="R79" s="1316"/>
      <c r="S79" s="1316"/>
      <c r="T79" s="1316"/>
      <c r="V79" s="23"/>
    </row>
    <row r="80" spans="1:22" s="16" customFormat="1" ht="16.5" customHeight="1" x14ac:dyDescent="0.2">
      <c r="A80" s="26"/>
      <c r="C80" s="32"/>
      <c r="D80" s="400" t="s">
        <v>117</v>
      </c>
      <c r="E80" s="400"/>
      <c r="F80" s="400"/>
      <c r="G80" s="400"/>
      <c r="H80" s="400"/>
      <c r="I80" s="400"/>
      <c r="J80" s="400"/>
      <c r="K80" s="400"/>
      <c r="L80" s="400"/>
      <c r="M80" s="400"/>
      <c r="N80" s="400"/>
      <c r="O80" s="400"/>
      <c r="P80" s="400"/>
      <c r="Q80" s="400"/>
      <c r="R80" s="400"/>
      <c r="S80" s="400"/>
      <c r="T80" s="400"/>
      <c r="U80" s="400"/>
      <c r="V80" s="23"/>
    </row>
    <row r="81" spans="1:22" s="16" customFormat="1" ht="16.5" customHeight="1" x14ac:dyDescent="0.25">
      <c r="A81" s="33"/>
      <c r="C81" s="1316" t="s">
        <v>118</v>
      </c>
      <c r="D81" s="1316"/>
      <c r="E81" s="1316"/>
      <c r="F81" s="1316"/>
      <c r="G81" s="1316"/>
      <c r="H81" s="1316"/>
      <c r="I81" s="1316"/>
      <c r="J81" s="1316"/>
      <c r="K81" s="1316"/>
      <c r="L81" s="1316"/>
      <c r="M81" s="1316"/>
      <c r="N81" s="1316"/>
      <c r="O81" s="1316"/>
      <c r="P81" s="1316"/>
      <c r="Q81" s="1316"/>
      <c r="R81" s="1316"/>
      <c r="S81" s="1316"/>
      <c r="T81" s="1316"/>
      <c r="U81" s="1"/>
      <c r="V81" s="23"/>
    </row>
    <row r="82" spans="1:22" s="16" customFormat="1" ht="16.5" customHeight="1" x14ac:dyDescent="0.2">
      <c r="A82" s="33"/>
      <c r="C82" s="1316" t="s">
        <v>119</v>
      </c>
      <c r="D82" s="1316"/>
      <c r="E82" s="1316"/>
      <c r="F82" s="1316"/>
      <c r="G82" s="1316"/>
      <c r="H82" s="1316"/>
      <c r="I82" s="1316"/>
      <c r="J82" s="1316"/>
      <c r="K82" s="1316"/>
      <c r="L82" s="1316"/>
      <c r="M82" s="1316"/>
      <c r="N82" s="1316"/>
      <c r="O82" s="1316"/>
      <c r="P82" s="1316"/>
      <c r="Q82" s="1316"/>
      <c r="R82" s="1316"/>
      <c r="S82" s="1316"/>
      <c r="T82" s="1316"/>
      <c r="U82" s="24"/>
      <c r="V82" s="23"/>
    </row>
    <row r="83" spans="1:22" s="16" customFormat="1" ht="16.5" customHeight="1" x14ac:dyDescent="0.2">
      <c r="A83" s="33"/>
      <c r="E83" s="400"/>
      <c r="F83" s="400"/>
      <c r="G83" s="400"/>
      <c r="H83" s="400"/>
      <c r="I83" s="400"/>
      <c r="J83" s="400"/>
      <c r="K83" s="400"/>
      <c r="L83" s="400"/>
      <c r="M83" s="400"/>
      <c r="N83" s="400"/>
      <c r="O83" s="400"/>
      <c r="P83" s="400"/>
      <c r="Q83" s="400"/>
      <c r="R83" s="400"/>
      <c r="S83" s="400"/>
      <c r="T83" s="400"/>
      <c r="U83" s="400"/>
      <c r="V83" s="23"/>
    </row>
    <row r="84" spans="1:22" s="16" customFormat="1" ht="16.5" customHeight="1" x14ac:dyDescent="0.2">
      <c r="A84" s="33"/>
      <c r="E84" s="400"/>
      <c r="F84" s="400"/>
      <c r="G84" s="400"/>
      <c r="H84" s="400"/>
      <c r="I84" s="400"/>
      <c r="J84" s="400"/>
      <c r="K84" s="400"/>
      <c r="L84" s="400"/>
      <c r="M84" s="400"/>
      <c r="N84" s="400"/>
      <c r="O84" s="400"/>
      <c r="P84" s="400"/>
      <c r="Q84" s="400"/>
      <c r="R84" s="400"/>
      <c r="S84" s="400"/>
      <c r="T84" s="400"/>
      <c r="U84" s="400"/>
      <c r="V84" s="23"/>
    </row>
    <row r="85" spans="1:22" s="16" customFormat="1" ht="16.5" customHeight="1" x14ac:dyDescent="0.2">
      <c r="A85" s="33"/>
      <c r="D85" s="400"/>
      <c r="E85" s="400"/>
      <c r="F85" s="400"/>
      <c r="G85" s="400"/>
      <c r="H85" s="400"/>
      <c r="I85" s="400"/>
      <c r="J85" s="400"/>
      <c r="K85" s="400"/>
      <c r="L85" s="400"/>
      <c r="M85" s="400"/>
      <c r="N85" s="400"/>
      <c r="O85" s="400"/>
      <c r="P85" s="400"/>
      <c r="Q85" s="400"/>
      <c r="R85" s="400"/>
      <c r="S85" s="400"/>
      <c r="T85" s="400"/>
      <c r="U85" s="400"/>
      <c r="V85" s="23"/>
    </row>
    <row r="86" spans="1:22" s="16" customFormat="1" ht="16.5" customHeight="1" x14ac:dyDescent="0.25">
      <c r="A86" s="33"/>
      <c r="D86" s="1"/>
      <c r="E86" s="400"/>
      <c r="F86" s="400"/>
      <c r="G86" s="400"/>
      <c r="H86" s="400"/>
      <c r="I86" s="400"/>
      <c r="J86" s="400"/>
      <c r="K86" s="400"/>
      <c r="L86" s="400"/>
      <c r="M86" s="400"/>
      <c r="N86" s="400"/>
      <c r="O86" s="400"/>
      <c r="P86" s="400"/>
      <c r="Q86" s="400"/>
      <c r="R86" s="400"/>
      <c r="S86" s="400"/>
      <c r="T86" s="400"/>
      <c r="U86" s="400"/>
      <c r="V86" s="23"/>
    </row>
    <row r="87" spans="1:22" s="16" customFormat="1" ht="16.5" customHeight="1" x14ac:dyDescent="0.25">
      <c r="A87" s="33"/>
      <c r="D87" s="1"/>
      <c r="E87" s="400"/>
      <c r="F87" s="400"/>
      <c r="G87" s="400"/>
      <c r="H87" s="400"/>
      <c r="I87" s="400"/>
      <c r="J87" s="400"/>
      <c r="K87" s="400"/>
      <c r="L87" s="400"/>
      <c r="M87" s="400"/>
      <c r="N87" s="400"/>
      <c r="O87" s="400"/>
      <c r="P87" s="400"/>
      <c r="Q87" s="400"/>
      <c r="R87" s="400"/>
      <c r="S87" s="400"/>
      <c r="T87" s="400"/>
      <c r="U87" s="400"/>
      <c r="V87" s="23"/>
    </row>
    <row r="88" spans="1:22" s="16" customFormat="1" ht="16.5" customHeight="1" x14ac:dyDescent="0.25">
      <c r="A88" s="33"/>
      <c r="D88" s="1"/>
      <c r="E88" s="400"/>
      <c r="F88" s="400"/>
      <c r="G88" s="400"/>
      <c r="H88" s="400"/>
      <c r="I88" s="400"/>
      <c r="J88" s="400"/>
      <c r="K88" s="400"/>
      <c r="L88" s="400"/>
      <c r="M88" s="400"/>
      <c r="N88" s="400"/>
      <c r="O88" s="400"/>
      <c r="P88" s="400"/>
      <c r="Q88" s="400"/>
      <c r="R88" s="400"/>
      <c r="S88" s="400"/>
      <c r="T88" s="400"/>
      <c r="U88" s="400"/>
      <c r="V88" s="23"/>
    </row>
    <row r="89" spans="1:22" s="16" customFormat="1" ht="16.5" customHeight="1" x14ac:dyDescent="0.2">
      <c r="A89" s="33"/>
      <c r="D89" s="400"/>
      <c r="E89" s="400"/>
      <c r="F89" s="400"/>
      <c r="G89" s="400"/>
      <c r="H89" s="400"/>
      <c r="I89" s="400"/>
      <c r="J89" s="400"/>
      <c r="K89" s="400"/>
      <c r="L89" s="400"/>
      <c r="M89" s="400"/>
      <c r="N89" s="400"/>
      <c r="O89" s="400"/>
      <c r="P89" s="400"/>
      <c r="Q89" s="400"/>
      <c r="R89" s="400"/>
      <c r="S89" s="400"/>
      <c r="T89" s="400"/>
      <c r="U89" s="400"/>
      <c r="V89" s="23"/>
    </row>
    <row r="90" spans="1:22" s="16" customFormat="1" ht="16.5" customHeight="1" x14ac:dyDescent="0.25">
      <c r="A90" s="33"/>
      <c r="D90" s="1"/>
      <c r="E90" s="400"/>
      <c r="F90" s="400"/>
      <c r="G90" s="400"/>
      <c r="H90" s="400"/>
      <c r="I90" s="400"/>
      <c r="J90" s="400"/>
      <c r="K90" s="400"/>
      <c r="L90" s="400"/>
      <c r="M90" s="400"/>
      <c r="N90" s="400"/>
      <c r="O90" s="400"/>
      <c r="P90" s="400"/>
      <c r="Q90" s="400"/>
      <c r="R90" s="400"/>
      <c r="S90" s="400"/>
      <c r="T90" s="400"/>
      <c r="U90" s="400"/>
      <c r="V90" s="23"/>
    </row>
    <row r="91" spans="1:22" s="16" customFormat="1" ht="16.5" customHeight="1" x14ac:dyDescent="0.25">
      <c r="A91" s="33"/>
      <c r="D91" s="1"/>
      <c r="E91" s="400"/>
      <c r="F91" s="400"/>
      <c r="G91" s="400"/>
      <c r="H91" s="400"/>
      <c r="I91" s="400"/>
      <c r="J91" s="400"/>
      <c r="K91" s="400"/>
      <c r="L91" s="400"/>
      <c r="M91" s="400"/>
      <c r="N91" s="400"/>
      <c r="O91" s="400"/>
      <c r="P91" s="400"/>
      <c r="Q91" s="400"/>
      <c r="R91" s="400"/>
      <c r="S91" s="400"/>
      <c r="T91" s="400"/>
      <c r="U91" s="400"/>
      <c r="V91" s="23"/>
    </row>
    <row r="92" spans="1:22" s="16" customFormat="1" ht="16.5" customHeight="1" x14ac:dyDescent="0.25">
      <c r="A92" s="33"/>
      <c r="D92" s="1"/>
      <c r="E92" s="400"/>
      <c r="F92" s="400"/>
      <c r="G92" s="400"/>
      <c r="H92" s="400"/>
      <c r="I92" s="400"/>
      <c r="J92" s="400"/>
      <c r="K92" s="400"/>
      <c r="L92" s="400"/>
      <c r="M92" s="400"/>
      <c r="N92" s="400"/>
      <c r="O92" s="400"/>
      <c r="P92" s="400"/>
      <c r="Q92" s="400"/>
      <c r="R92" s="400"/>
      <c r="S92" s="400"/>
      <c r="T92" s="400"/>
      <c r="U92" s="400"/>
      <c r="V92" s="23"/>
    </row>
    <row r="93" spans="1:22" s="16" customFormat="1" ht="16.5" customHeight="1" x14ac:dyDescent="0.2">
      <c r="A93" s="33"/>
      <c r="D93" s="400"/>
      <c r="E93" s="400"/>
      <c r="F93" s="400"/>
      <c r="G93" s="400"/>
      <c r="H93" s="400"/>
      <c r="I93" s="400"/>
      <c r="J93" s="400"/>
      <c r="K93" s="400"/>
      <c r="L93" s="400"/>
      <c r="M93" s="400"/>
      <c r="N93" s="400"/>
      <c r="O93" s="400"/>
      <c r="P93" s="400"/>
      <c r="Q93" s="400"/>
      <c r="R93" s="400"/>
      <c r="S93" s="400"/>
      <c r="T93" s="400"/>
      <c r="U93" s="400"/>
      <c r="V93" s="23"/>
    </row>
    <row r="94" spans="1:22" s="16" customFormat="1" ht="16.5" customHeight="1" x14ac:dyDescent="0.2">
      <c r="A94" s="33"/>
      <c r="D94" s="17"/>
      <c r="E94" s="17"/>
      <c r="F94" s="17"/>
      <c r="G94" s="17"/>
      <c r="H94" s="17"/>
      <c r="I94" s="17"/>
      <c r="J94" s="17"/>
      <c r="K94" s="17"/>
      <c r="L94" s="17"/>
      <c r="M94" s="17"/>
      <c r="N94" s="17"/>
      <c r="O94" s="17"/>
      <c r="P94" s="17"/>
      <c r="Q94" s="17"/>
      <c r="R94" s="17"/>
      <c r="S94" s="17"/>
      <c r="T94" s="17"/>
      <c r="U94" s="17"/>
      <c r="V94" s="23"/>
    </row>
    <row r="95" spans="1:22" s="16" customFormat="1" ht="16.5" customHeight="1" x14ac:dyDescent="0.2">
      <c r="A95" s="33"/>
      <c r="D95" s="17"/>
      <c r="E95" s="17"/>
      <c r="F95" s="17"/>
      <c r="G95" s="17"/>
      <c r="H95" s="17"/>
      <c r="I95" s="17"/>
      <c r="J95" s="17"/>
      <c r="K95" s="17"/>
      <c r="L95" s="17"/>
      <c r="M95" s="17"/>
      <c r="N95" s="17"/>
      <c r="O95" s="17"/>
      <c r="P95" s="17"/>
      <c r="Q95" s="17"/>
      <c r="R95" s="17"/>
      <c r="S95" s="17"/>
      <c r="T95" s="17"/>
      <c r="U95" s="17"/>
      <c r="V95" s="23"/>
    </row>
    <row r="96" spans="1:22" s="16" customFormat="1" ht="16.5" customHeight="1" x14ac:dyDescent="0.2">
      <c r="A96" s="33"/>
      <c r="D96" s="17"/>
      <c r="E96" s="17"/>
      <c r="F96" s="17"/>
      <c r="G96" s="17"/>
      <c r="H96" s="17"/>
      <c r="I96" s="17"/>
      <c r="J96" s="17"/>
      <c r="K96" s="17"/>
      <c r="L96" s="17"/>
      <c r="M96" s="17"/>
      <c r="N96" s="17"/>
      <c r="O96" s="17"/>
      <c r="P96" s="17"/>
      <c r="Q96" s="17"/>
      <c r="R96" s="17"/>
      <c r="S96" s="17"/>
      <c r="T96" s="17"/>
      <c r="U96" s="17"/>
      <c r="V96" s="23"/>
    </row>
    <row r="97" spans="1:22" s="16" customFormat="1" ht="16.5" customHeight="1" x14ac:dyDescent="0.2">
      <c r="A97" s="33"/>
      <c r="D97" s="17"/>
      <c r="E97" s="17"/>
      <c r="F97" s="17"/>
      <c r="G97" s="17"/>
      <c r="H97" s="17"/>
      <c r="I97" s="17"/>
      <c r="J97" s="17"/>
      <c r="K97" s="17"/>
      <c r="L97" s="17"/>
      <c r="M97" s="17"/>
      <c r="N97" s="17"/>
      <c r="O97" s="17"/>
      <c r="P97" s="17"/>
      <c r="Q97" s="17"/>
      <c r="R97" s="17"/>
      <c r="S97" s="17"/>
      <c r="T97" s="17"/>
      <c r="U97" s="17"/>
      <c r="V97" s="23"/>
    </row>
    <row r="98" spans="1:22" s="16" customFormat="1" ht="16.5" customHeight="1" x14ac:dyDescent="0.2">
      <c r="A98" s="33"/>
      <c r="D98" s="17"/>
      <c r="E98" s="17"/>
      <c r="F98" s="17"/>
      <c r="G98" s="17"/>
      <c r="H98" s="17"/>
      <c r="I98" s="17"/>
      <c r="J98" s="17"/>
      <c r="K98" s="17"/>
      <c r="L98" s="17"/>
      <c r="M98" s="17"/>
      <c r="N98" s="17"/>
      <c r="O98" s="17"/>
      <c r="P98" s="17"/>
      <c r="Q98" s="17"/>
      <c r="R98" s="17"/>
      <c r="S98" s="17"/>
      <c r="T98" s="17"/>
      <c r="U98" s="17"/>
      <c r="V98" s="23"/>
    </row>
    <row r="99" spans="1:22" s="16" customFormat="1" ht="16.5" customHeight="1" x14ac:dyDescent="0.2">
      <c r="A99" s="33"/>
      <c r="D99" s="17"/>
      <c r="E99" s="17"/>
      <c r="F99" s="17"/>
      <c r="G99" s="17"/>
      <c r="H99" s="17"/>
      <c r="I99" s="17"/>
      <c r="J99" s="17"/>
      <c r="K99" s="17"/>
      <c r="L99" s="17"/>
      <c r="M99" s="17"/>
      <c r="N99" s="17"/>
      <c r="O99" s="17"/>
      <c r="P99" s="17"/>
      <c r="Q99" s="17"/>
      <c r="R99" s="17"/>
      <c r="S99" s="17"/>
      <c r="T99" s="17"/>
      <c r="U99" s="17"/>
      <c r="V99" s="23"/>
    </row>
    <row r="100" spans="1:22" s="16" customFormat="1" ht="16.5" customHeight="1" x14ac:dyDescent="0.2">
      <c r="A100" s="33"/>
      <c r="D100" s="17"/>
      <c r="E100" s="17"/>
      <c r="F100" s="17"/>
      <c r="G100" s="17"/>
      <c r="H100" s="17"/>
      <c r="I100" s="17"/>
      <c r="J100" s="17"/>
      <c r="K100" s="17"/>
      <c r="L100" s="17"/>
      <c r="M100" s="17"/>
      <c r="N100" s="17"/>
      <c r="O100" s="17"/>
      <c r="P100" s="17"/>
      <c r="Q100" s="17"/>
      <c r="R100" s="17"/>
      <c r="S100" s="17"/>
      <c r="T100" s="17"/>
      <c r="U100" s="17"/>
      <c r="V100" s="23"/>
    </row>
    <row r="101" spans="1:22" s="16" customFormat="1" ht="16.5" customHeight="1" x14ac:dyDescent="0.2">
      <c r="A101" s="33"/>
      <c r="D101" s="17"/>
      <c r="E101" s="17"/>
      <c r="F101" s="17"/>
      <c r="G101" s="17"/>
      <c r="H101" s="17"/>
      <c r="I101" s="17"/>
      <c r="J101" s="17"/>
      <c r="K101" s="17"/>
      <c r="L101" s="17"/>
      <c r="M101" s="17"/>
      <c r="N101" s="17"/>
      <c r="O101" s="17"/>
      <c r="P101" s="17"/>
      <c r="Q101" s="17"/>
      <c r="R101" s="17"/>
      <c r="S101" s="17"/>
      <c r="T101" s="17"/>
      <c r="U101" s="17"/>
      <c r="V101" s="23"/>
    </row>
    <row r="102" spans="1:22" s="16" customFormat="1" ht="16.5" customHeight="1" x14ac:dyDescent="0.2">
      <c r="A102" s="33"/>
      <c r="D102" s="17"/>
      <c r="E102" s="17"/>
      <c r="F102" s="17"/>
      <c r="G102" s="17"/>
      <c r="H102" s="17"/>
      <c r="I102" s="17"/>
      <c r="J102" s="17"/>
      <c r="K102" s="17"/>
      <c r="L102" s="17"/>
      <c r="M102" s="17"/>
      <c r="N102" s="17"/>
      <c r="O102" s="17"/>
      <c r="P102" s="17"/>
      <c r="Q102" s="17"/>
      <c r="R102" s="17"/>
      <c r="S102" s="17"/>
      <c r="T102" s="17"/>
      <c r="U102" s="17"/>
      <c r="V102" s="23"/>
    </row>
    <row r="103" spans="1:22" s="16" customFormat="1" ht="16.5" customHeight="1" x14ac:dyDescent="0.2">
      <c r="A103" s="33"/>
      <c r="D103" s="17"/>
      <c r="E103" s="17"/>
      <c r="F103" s="17"/>
      <c r="G103" s="17"/>
      <c r="H103" s="17"/>
      <c r="I103" s="17"/>
      <c r="J103" s="17"/>
      <c r="K103" s="17"/>
      <c r="L103" s="17"/>
      <c r="M103" s="17"/>
      <c r="N103" s="17"/>
      <c r="O103" s="17"/>
      <c r="P103" s="17"/>
      <c r="Q103" s="17"/>
      <c r="R103" s="17"/>
      <c r="S103" s="17"/>
      <c r="T103" s="17"/>
      <c r="U103" s="17"/>
      <c r="V103" s="23"/>
    </row>
    <row r="104" spans="1:22" s="16" customFormat="1" ht="16.5" customHeight="1" x14ac:dyDescent="0.2">
      <c r="A104" s="33"/>
      <c r="D104" s="17"/>
      <c r="E104" s="17"/>
      <c r="F104" s="17"/>
      <c r="G104" s="17"/>
      <c r="H104" s="17"/>
      <c r="I104" s="17"/>
      <c r="J104" s="17"/>
      <c r="K104" s="17"/>
      <c r="L104" s="17"/>
      <c r="M104" s="17"/>
      <c r="N104" s="17"/>
      <c r="O104" s="17"/>
      <c r="P104" s="17"/>
      <c r="Q104" s="17"/>
      <c r="R104" s="17"/>
      <c r="S104" s="17"/>
      <c r="T104" s="17"/>
      <c r="U104" s="17"/>
      <c r="V104" s="23"/>
    </row>
    <row r="105" spans="1:22" s="16" customFormat="1" ht="16.5" customHeight="1" x14ac:dyDescent="0.2">
      <c r="A105" s="33"/>
      <c r="D105" s="17"/>
      <c r="E105" s="17"/>
      <c r="F105" s="17"/>
      <c r="G105" s="17"/>
      <c r="H105" s="17"/>
      <c r="I105" s="17"/>
      <c r="J105" s="17"/>
      <c r="K105" s="17"/>
      <c r="L105" s="17"/>
      <c r="M105" s="17"/>
      <c r="N105" s="17"/>
      <c r="O105" s="17"/>
      <c r="P105" s="17"/>
      <c r="Q105" s="17"/>
      <c r="R105" s="17"/>
      <c r="S105" s="17"/>
      <c r="T105" s="17"/>
      <c r="U105" s="17"/>
      <c r="V105" s="23"/>
    </row>
    <row r="106" spans="1:22" s="16" customFormat="1" ht="16.5" customHeight="1" x14ac:dyDescent="0.2">
      <c r="A106" s="33"/>
      <c r="D106" s="17"/>
      <c r="E106" s="17"/>
      <c r="F106" s="17"/>
      <c r="G106" s="17"/>
      <c r="H106" s="17"/>
      <c r="I106" s="17"/>
      <c r="J106" s="17"/>
      <c r="K106" s="17"/>
      <c r="L106" s="17"/>
      <c r="M106" s="17"/>
      <c r="N106" s="17"/>
      <c r="O106" s="17"/>
      <c r="P106" s="17"/>
      <c r="Q106" s="17"/>
      <c r="R106" s="17"/>
      <c r="S106" s="17"/>
      <c r="T106" s="17"/>
      <c r="U106" s="17"/>
      <c r="V106" s="23"/>
    </row>
    <row r="107" spans="1:22" s="16" customFormat="1" ht="16.5" customHeight="1" x14ac:dyDescent="0.2">
      <c r="A107" s="33"/>
      <c r="D107" s="17"/>
      <c r="E107" s="17"/>
      <c r="F107" s="17"/>
      <c r="G107" s="17"/>
      <c r="H107" s="17"/>
      <c r="I107" s="17"/>
      <c r="J107" s="17"/>
      <c r="K107" s="17"/>
      <c r="L107" s="17"/>
      <c r="M107" s="17"/>
      <c r="N107" s="17"/>
      <c r="O107" s="17"/>
      <c r="P107" s="17"/>
      <c r="Q107" s="17"/>
      <c r="R107" s="17"/>
      <c r="S107" s="17"/>
      <c r="T107" s="17"/>
      <c r="U107" s="17"/>
      <c r="V107" s="23"/>
    </row>
    <row r="108" spans="1:22" s="16" customFormat="1" ht="16.5" customHeight="1" x14ac:dyDescent="0.2">
      <c r="A108" s="33"/>
      <c r="D108" s="17"/>
      <c r="E108" s="17"/>
      <c r="F108" s="17"/>
      <c r="G108" s="17"/>
      <c r="H108" s="17"/>
      <c r="I108" s="17"/>
      <c r="J108" s="17"/>
      <c r="K108" s="17"/>
      <c r="L108" s="17"/>
      <c r="M108" s="17"/>
      <c r="N108" s="17"/>
      <c r="O108" s="17"/>
      <c r="P108" s="17"/>
      <c r="Q108" s="17"/>
      <c r="R108" s="17"/>
      <c r="S108" s="17"/>
      <c r="T108" s="17"/>
      <c r="U108" s="17"/>
      <c r="V108" s="23"/>
    </row>
    <row r="109" spans="1:22" s="16" customFormat="1" ht="16.5" customHeight="1" x14ac:dyDescent="0.2">
      <c r="A109" s="33"/>
      <c r="D109" s="17"/>
      <c r="E109" s="17"/>
      <c r="F109" s="17"/>
      <c r="G109" s="17"/>
      <c r="H109" s="17"/>
      <c r="I109" s="17"/>
      <c r="J109" s="17"/>
      <c r="K109" s="17"/>
      <c r="L109" s="17"/>
      <c r="M109" s="17"/>
      <c r="N109" s="17"/>
      <c r="O109" s="17"/>
      <c r="P109" s="17"/>
      <c r="Q109" s="17"/>
      <c r="R109" s="17"/>
      <c r="S109" s="17"/>
      <c r="T109" s="17"/>
      <c r="U109" s="17"/>
      <c r="V109" s="23"/>
    </row>
    <row r="110" spans="1:22" s="16" customFormat="1" ht="16.5" customHeight="1" x14ac:dyDescent="0.2">
      <c r="A110" s="33"/>
      <c r="D110" s="17"/>
      <c r="E110" s="17"/>
      <c r="F110" s="17"/>
      <c r="G110" s="17"/>
      <c r="H110" s="17"/>
      <c r="I110" s="17"/>
      <c r="J110" s="17"/>
      <c r="K110" s="17"/>
      <c r="L110" s="17"/>
      <c r="M110" s="17"/>
      <c r="N110" s="17"/>
      <c r="O110" s="17"/>
      <c r="P110" s="17"/>
      <c r="Q110" s="17"/>
      <c r="R110" s="17"/>
      <c r="S110" s="17"/>
      <c r="T110" s="17"/>
      <c r="U110" s="17"/>
      <c r="V110" s="23"/>
    </row>
    <row r="111" spans="1:22" s="16" customFormat="1" ht="16.5" customHeight="1" x14ac:dyDescent="0.2">
      <c r="A111" s="33"/>
      <c r="D111" s="17"/>
      <c r="E111" s="17"/>
      <c r="F111" s="17"/>
      <c r="G111" s="17"/>
      <c r="H111" s="17"/>
      <c r="I111" s="17"/>
      <c r="J111" s="17"/>
      <c r="K111" s="17"/>
      <c r="L111" s="17"/>
      <c r="M111" s="17"/>
      <c r="N111" s="17"/>
      <c r="O111" s="17"/>
      <c r="P111" s="17"/>
      <c r="Q111" s="17"/>
      <c r="R111" s="17"/>
      <c r="S111" s="17"/>
      <c r="T111" s="17"/>
      <c r="U111" s="17"/>
      <c r="V111" s="23"/>
    </row>
    <row r="112" spans="1:22" s="16" customFormat="1" ht="16.5" customHeight="1" x14ac:dyDescent="0.2">
      <c r="A112" s="33"/>
      <c r="D112" s="17"/>
      <c r="E112" s="17"/>
      <c r="F112" s="17"/>
      <c r="G112" s="17"/>
      <c r="H112" s="17"/>
      <c r="I112" s="17"/>
      <c r="J112" s="17"/>
      <c r="K112" s="17"/>
      <c r="L112" s="17"/>
      <c r="M112" s="17"/>
      <c r="N112" s="17"/>
      <c r="O112" s="17"/>
      <c r="P112" s="17"/>
      <c r="Q112" s="17"/>
      <c r="R112" s="17"/>
      <c r="S112" s="17"/>
      <c r="T112" s="17"/>
      <c r="U112" s="17"/>
      <c r="V112" s="23"/>
    </row>
    <row r="113" spans="1:22" s="16" customFormat="1" ht="16.5" customHeight="1" x14ac:dyDescent="0.2">
      <c r="A113" s="33"/>
      <c r="D113" s="17"/>
      <c r="E113" s="17"/>
      <c r="F113" s="17"/>
      <c r="G113" s="17"/>
      <c r="H113" s="17"/>
      <c r="I113" s="17"/>
      <c r="J113" s="17"/>
      <c r="K113" s="17"/>
      <c r="L113" s="17"/>
      <c r="M113" s="17"/>
      <c r="N113" s="17"/>
      <c r="O113" s="17"/>
      <c r="P113" s="17"/>
      <c r="Q113" s="17"/>
      <c r="R113" s="17"/>
      <c r="S113" s="17"/>
      <c r="T113" s="17"/>
      <c r="U113" s="17"/>
      <c r="V113" s="23"/>
    </row>
    <row r="114" spans="1:22" s="16" customFormat="1" ht="16.5" customHeight="1" x14ac:dyDescent="0.2">
      <c r="A114" s="33"/>
      <c r="D114" s="17"/>
      <c r="E114" s="17"/>
      <c r="F114" s="17"/>
      <c r="G114" s="17"/>
      <c r="H114" s="17"/>
      <c r="I114" s="17"/>
      <c r="J114" s="17"/>
      <c r="K114" s="17"/>
      <c r="L114" s="17"/>
      <c r="M114" s="17"/>
      <c r="N114" s="17"/>
      <c r="O114" s="17"/>
      <c r="P114" s="17"/>
      <c r="Q114" s="17"/>
      <c r="R114" s="17"/>
      <c r="S114" s="17"/>
      <c r="T114" s="17"/>
      <c r="U114" s="17"/>
      <c r="V114" s="23"/>
    </row>
    <row r="115" spans="1:22" s="16" customFormat="1" ht="20.25" customHeight="1" x14ac:dyDescent="0.2">
      <c r="A115" s="1312" t="s">
        <v>120</v>
      </c>
      <c r="B115" s="1312"/>
      <c r="C115" s="1312"/>
      <c r="D115" s="1312"/>
      <c r="E115" s="1312"/>
      <c r="F115" s="1312"/>
      <c r="G115" s="1312"/>
      <c r="H115" s="1312"/>
      <c r="I115" s="1312"/>
      <c r="J115" s="1312"/>
      <c r="K115" s="1312"/>
      <c r="L115" s="1312"/>
      <c r="M115" s="1312"/>
      <c r="N115" s="1312"/>
      <c r="O115" s="1312"/>
      <c r="P115" s="1312"/>
      <c r="Q115" s="1312"/>
      <c r="R115" s="1312"/>
      <c r="S115" s="1312"/>
      <c r="T115" s="1312"/>
      <c r="U115" s="1312"/>
      <c r="V115" s="23"/>
    </row>
    <row r="116" spans="1:22" s="16" customFormat="1" ht="12.75" customHeight="1" x14ac:dyDescent="0.2">
      <c r="A116" s="1312" t="s">
        <v>121</v>
      </c>
      <c r="B116" s="1312"/>
      <c r="C116" s="1312"/>
      <c r="D116" s="1312"/>
      <c r="E116" s="1312"/>
      <c r="F116" s="1312"/>
      <c r="G116" s="1312"/>
      <c r="H116" s="1312"/>
      <c r="I116" s="1312"/>
      <c r="J116" s="1312"/>
      <c r="K116" s="1312"/>
      <c r="L116" s="1312"/>
      <c r="M116" s="1312"/>
      <c r="N116" s="1312"/>
      <c r="O116" s="1312"/>
      <c r="P116" s="1312"/>
      <c r="Q116" s="1312"/>
      <c r="R116" s="1312"/>
      <c r="S116" s="1312"/>
      <c r="T116" s="1312"/>
      <c r="U116" s="1312"/>
      <c r="V116" s="23"/>
    </row>
    <row r="117" spans="1:22" s="16" customFormat="1" ht="12.75" customHeight="1" x14ac:dyDescent="0.2">
      <c r="A117" s="34"/>
      <c r="B117" s="35"/>
      <c r="C117" s="35"/>
      <c r="D117" s="36"/>
      <c r="E117" s="37"/>
      <c r="F117" s="37"/>
      <c r="G117" s="37"/>
      <c r="H117" s="37"/>
      <c r="I117" s="37"/>
      <c r="J117" s="37"/>
      <c r="K117" s="37"/>
      <c r="L117" s="37"/>
      <c r="M117" s="37"/>
      <c r="N117" s="37"/>
      <c r="O117" s="37"/>
      <c r="P117" s="37"/>
      <c r="Q117" s="37"/>
      <c r="R117" s="37"/>
      <c r="S117" s="37"/>
      <c r="T117" s="37"/>
      <c r="U117" s="37"/>
      <c r="V117" s="23"/>
    </row>
    <row r="118" spans="1:22" s="16" customFormat="1" ht="20.25" customHeight="1" x14ac:dyDescent="0.2">
      <c r="A118" s="1313"/>
      <c r="B118" s="6" t="s">
        <v>122</v>
      </c>
      <c r="C118" s="1314" t="s">
        <v>123</v>
      </c>
      <c r="D118" s="1314"/>
      <c r="E118" s="1314"/>
      <c r="F118" s="1314"/>
      <c r="G118" s="1314"/>
      <c r="H118" s="1314"/>
      <c r="I118" s="1314"/>
      <c r="J118" s="1314"/>
      <c r="K118" s="1314"/>
      <c r="L118" s="1314"/>
      <c r="M118" s="1314"/>
      <c r="N118" s="1314"/>
      <c r="O118" s="1314"/>
      <c r="P118" s="1314"/>
      <c r="Q118" s="1314"/>
      <c r="R118" s="1314"/>
      <c r="S118" s="1314"/>
      <c r="T118" s="1314"/>
      <c r="U118" s="1314"/>
      <c r="V118" s="23"/>
    </row>
    <row r="119" spans="1:22" s="16" customFormat="1" ht="20.25" customHeight="1" x14ac:dyDescent="0.2">
      <c r="A119" s="1313"/>
      <c r="B119" s="7" t="str">
        <f>"2.1.1. Ringkasan Laporan Realisasi Anggaran Tahun Anggaran "&amp;'[1]2.ISIAN DATA SKPD'!D11&amp;""</f>
        <v>2.1.1. Ringkasan Laporan Realisasi Anggaran Tahun Anggaran 2018</v>
      </c>
      <c r="C119" s="38"/>
      <c r="D119" s="38"/>
      <c r="E119" s="38"/>
      <c r="F119" s="38"/>
      <c r="G119" s="38"/>
      <c r="H119" s="38"/>
      <c r="I119" s="38"/>
      <c r="J119" s="38"/>
      <c r="K119" s="38"/>
      <c r="L119" s="38"/>
      <c r="M119" s="38"/>
      <c r="N119" s="38"/>
      <c r="O119" s="38"/>
      <c r="P119" s="38"/>
      <c r="Q119" s="38"/>
      <c r="R119" s="38"/>
      <c r="S119" s="38"/>
      <c r="T119" s="38"/>
      <c r="U119" s="38"/>
      <c r="V119" s="23"/>
    </row>
    <row r="120" spans="1:22" s="16" customFormat="1" ht="45" customHeight="1" x14ac:dyDescent="0.2">
      <c r="A120" s="1313"/>
      <c r="B120" s="35"/>
      <c r="C120" s="1315" t="str">
        <f>"Selama periode berjalan, "&amp;'[1]2.ISIAN DATA SKPD'!D2&amp;" telah mengadakan revisi Dokumen Pelaksanaan  Anggaran Perubahan (DPAP) dari DPA awal. "</f>
        <v xml:space="preserve">Selama periode berjalan, Dinas Pariwisata Dan Kebudayaan telah mengadakan revisi Dokumen Pelaksanaan  Anggaran Perubahan (DPAP) dari DPA awal. </v>
      </c>
      <c r="D120" s="1315"/>
      <c r="E120" s="1315"/>
      <c r="F120" s="1315"/>
      <c r="G120" s="1315"/>
      <c r="H120" s="1315"/>
      <c r="I120" s="1315"/>
      <c r="J120" s="1315"/>
      <c r="K120" s="1315"/>
      <c r="L120" s="1315"/>
      <c r="M120" s="1315"/>
      <c r="N120" s="1315"/>
      <c r="O120" s="1315"/>
      <c r="P120" s="1315"/>
      <c r="Q120" s="1315"/>
      <c r="R120" s="1315"/>
      <c r="S120" s="1315"/>
      <c r="T120" s="1315"/>
      <c r="U120" s="1315"/>
      <c r="V120" s="23"/>
    </row>
    <row r="121" spans="1:22" s="16" customFormat="1" ht="77.25" customHeight="1" x14ac:dyDescent="0.2">
      <c r="A121" s="1313"/>
      <c r="B121" s="35"/>
      <c r="C121" s="1315" t="s">
        <v>124</v>
      </c>
      <c r="D121" s="1315"/>
      <c r="E121" s="1315"/>
      <c r="F121" s="1315"/>
      <c r="G121" s="1315"/>
      <c r="H121" s="1315"/>
      <c r="I121" s="1315"/>
      <c r="J121" s="1315"/>
      <c r="K121" s="1315"/>
      <c r="L121" s="1315"/>
      <c r="M121" s="1315"/>
      <c r="N121" s="1315"/>
      <c r="O121" s="1315"/>
      <c r="P121" s="1315"/>
      <c r="Q121" s="1315"/>
      <c r="R121" s="1315"/>
      <c r="S121" s="1315"/>
      <c r="T121" s="1315"/>
      <c r="U121" s="1315"/>
      <c r="V121" s="23"/>
    </row>
    <row r="122" spans="1:22" s="16" customFormat="1" ht="18" customHeight="1" x14ac:dyDescent="0.2">
      <c r="A122" s="39"/>
      <c r="B122" s="35"/>
      <c r="C122" s="40"/>
      <c r="D122" s="40"/>
      <c r="E122" s="40"/>
      <c r="F122" s="40"/>
      <c r="G122" s="40"/>
      <c r="H122" s="40"/>
      <c r="I122" s="40"/>
      <c r="J122" s="40"/>
      <c r="K122" s="40"/>
      <c r="L122" s="40"/>
      <c r="M122" s="40"/>
      <c r="N122" s="40"/>
      <c r="O122" s="40"/>
      <c r="P122" s="40"/>
      <c r="Q122" s="40"/>
      <c r="R122" s="40"/>
      <c r="S122" s="40"/>
      <c r="T122" s="40"/>
      <c r="U122" s="40"/>
      <c r="V122" s="23"/>
    </row>
    <row r="123" spans="1:22" s="16" customFormat="1" ht="15.75" customHeight="1" x14ac:dyDescent="0.2">
      <c r="A123" s="1271" t="s">
        <v>125</v>
      </c>
      <c r="B123" s="1272"/>
      <c r="C123" s="1272"/>
      <c r="D123" s="1272"/>
      <c r="E123" s="1272"/>
      <c r="F123" s="1273"/>
      <c r="G123" s="897" t="s">
        <v>126</v>
      </c>
      <c r="H123" s="898"/>
      <c r="I123" s="898"/>
      <c r="J123" s="898"/>
      <c r="K123" s="1274"/>
      <c r="L123" s="1041" t="s">
        <v>127</v>
      </c>
      <c r="M123" s="1042"/>
      <c r="N123" s="1042"/>
      <c r="O123" s="1042"/>
      <c r="P123" s="1043"/>
      <c r="Q123" s="1041" t="s">
        <v>128</v>
      </c>
      <c r="R123" s="1042"/>
      <c r="S123" s="1042"/>
      <c r="T123" s="1042"/>
      <c r="U123" s="1043"/>
      <c r="V123" s="23"/>
    </row>
    <row r="124" spans="1:22" s="16" customFormat="1" ht="13.5" customHeight="1" x14ac:dyDescent="0.2">
      <c r="A124" s="1317"/>
      <c r="B124" s="1318"/>
      <c r="C124" s="1318"/>
      <c r="D124" s="1318"/>
      <c r="E124" s="1318"/>
      <c r="F124" s="1319"/>
      <c r="G124" s="1320"/>
      <c r="H124" s="1321"/>
      <c r="I124" s="1321"/>
      <c r="J124" s="1321"/>
      <c r="K124" s="1322"/>
      <c r="L124" s="1140"/>
      <c r="M124" s="1141"/>
      <c r="N124" s="1141"/>
      <c r="O124" s="1141"/>
      <c r="P124" s="1142"/>
      <c r="Q124" s="1140"/>
      <c r="R124" s="1141"/>
      <c r="S124" s="1141"/>
      <c r="T124" s="1141"/>
      <c r="U124" s="1142"/>
      <c r="V124" s="23"/>
    </row>
    <row r="125" spans="1:22" s="16" customFormat="1" ht="21" customHeight="1" x14ac:dyDescent="0.2">
      <c r="A125" s="41" t="s">
        <v>129</v>
      </c>
      <c r="B125" s="42"/>
      <c r="C125" s="43"/>
      <c r="D125" s="43"/>
      <c r="E125" s="43"/>
      <c r="F125" s="43"/>
      <c r="G125" s="1303"/>
      <c r="H125" s="1304"/>
      <c r="I125" s="1304"/>
      <c r="J125" s="1304"/>
      <c r="K125" s="1305"/>
      <c r="L125" s="1306"/>
      <c r="M125" s="1307"/>
      <c r="N125" s="1307"/>
      <c r="O125" s="1307"/>
      <c r="P125" s="1308"/>
      <c r="Q125" s="1309"/>
      <c r="R125" s="1310"/>
      <c r="S125" s="1310"/>
      <c r="T125" s="1310"/>
      <c r="U125" s="1311"/>
      <c r="V125" s="23"/>
    </row>
    <row r="126" spans="1:22" s="16" customFormat="1" ht="16.5" customHeight="1" x14ac:dyDescent="0.2">
      <c r="A126" s="44" t="s">
        <v>130</v>
      </c>
      <c r="B126" s="42"/>
      <c r="D126" s="45"/>
      <c r="E126" s="45"/>
      <c r="F126" s="45"/>
      <c r="G126" s="1289">
        <f>'[1]3.LRA'!D5</f>
        <v>3713000000</v>
      </c>
      <c r="H126" s="1290"/>
      <c r="I126" s="1290"/>
      <c r="J126" s="1290"/>
      <c r="K126" s="1291"/>
      <c r="L126" s="1292">
        <f>'[1]3.LRA'!E5</f>
        <v>3828929000</v>
      </c>
      <c r="M126" s="1293"/>
      <c r="N126" s="1293"/>
      <c r="O126" s="1293"/>
      <c r="P126" s="1294"/>
      <c r="Q126" s="1295">
        <f t="shared" ref="Q126:Q134" si="1">L126-G126</f>
        <v>115929000</v>
      </c>
      <c r="R126" s="1296"/>
      <c r="S126" s="1296"/>
      <c r="T126" s="1296"/>
      <c r="U126" s="1297"/>
      <c r="V126" s="23"/>
    </row>
    <row r="127" spans="1:22" s="16" customFormat="1" ht="15.75" customHeight="1" x14ac:dyDescent="0.2">
      <c r="A127" s="46" t="s">
        <v>131</v>
      </c>
      <c r="B127" s="42"/>
      <c r="C127" s="42"/>
      <c r="D127" s="47"/>
      <c r="E127" s="47"/>
      <c r="F127" s="47"/>
      <c r="G127" s="1289">
        <f>'[1]3.LRA'!D6</f>
        <v>0</v>
      </c>
      <c r="H127" s="1290"/>
      <c r="I127" s="1290"/>
      <c r="J127" s="1290"/>
      <c r="K127" s="1291"/>
      <c r="L127" s="1292">
        <f>'[1]3.LRA'!E6</f>
        <v>0</v>
      </c>
      <c r="M127" s="1293"/>
      <c r="N127" s="1293"/>
      <c r="O127" s="1293"/>
      <c r="P127" s="1294"/>
      <c r="Q127" s="1295">
        <f t="shared" si="1"/>
        <v>0</v>
      </c>
      <c r="R127" s="1296"/>
      <c r="S127" s="1296"/>
      <c r="T127" s="1296"/>
      <c r="U127" s="1297"/>
      <c r="V127" s="23"/>
    </row>
    <row r="128" spans="1:22" s="16" customFormat="1" ht="15.75" customHeight="1" x14ac:dyDescent="0.2">
      <c r="A128" s="46" t="s">
        <v>132</v>
      </c>
      <c r="B128" s="42"/>
      <c r="C128" s="42"/>
      <c r="D128" s="47"/>
      <c r="E128" s="47"/>
      <c r="F128" s="47"/>
      <c r="G128" s="1289">
        <f>'[1]3.LRA'!D7</f>
        <v>0</v>
      </c>
      <c r="H128" s="1290"/>
      <c r="I128" s="1290"/>
      <c r="J128" s="1290"/>
      <c r="K128" s="1291"/>
      <c r="L128" s="1292">
        <f>'[1]3.LRA'!E7</f>
        <v>0</v>
      </c>
      <c r="M128" s="1293"/>
      <c r="N128" s="1293"/>
      <c r="O128" s="1293"/>
      <c r="P128" s="1294"/>
      <c r="Q128" s="1295">
        <f t="shared" si="1"/>
        <v>0</v>
      </c>
      <c r="R128" s="1296"/>
      <c r="S128" s="1296"/>
      <c r="T128" s="1296"/>
      <c r="U128" s="1297"/>
      <c r="V128" s="23"/>
    </row>
    <row r="129" spans="1:39" s="16" customFormat="1" ht="15.75" customHeight="1" x14ac:dyDescent="0.2">
      <c r="A129" s="48" t="s">
        <v>133</v>
      </c>
      <c r="B129" s="49"/>
      <c r="C129" s="50"/>
      <c r="D129" s="50"/>
      <c r="E129" s="50"/>
      <c r="F129" s="50"/>
      <c r="G129" s="1249">
        <f>SUM(G126:K128)</f>
        <v>3713000000</v>
      </c>
      <c r="H129" s="1250"/>
      <c r="I129" s="1250"/>
      <c r="J129" s="1250"/>
      <c r="K129" s="1251"/>
      <c r="L129" s="1249">
        <f>SUM(L126:P128)</f>
        <v>3828929000</v>
      </c>
      <c r="M129" s="1250"/>
      <c r="N129" s="1250"/>
      <c r="O129" s="1250"/>
      <c r="P129" s="1251"/>
      <c r="Q129" s="1249">
        <f t="shared" si="1"/>
        <v>115929000</v>
      </c>
      <c r="R129" s="1250"/>
      <c r="S129" s="1250"/>
      <c r="T129" s="1250"/>
      <c r="U129" s="1251"/>
      <c r="V129" s="23"/>
    </row>
    <row r="130" spans="1:39" s="16" customFormat="1" ht="15.75" customHeight="1" x14ac:dyDescent="0.2">
      <c r="A130" s="51" t="s">
        <v>134</v>
      </c>
      <c r="B130" s="42"/>
      <c r="C130" s="52"/>
      <c r="D130" s="52"/>
      <c r="E130" s="52"/>
      <c r="F130" s="52"/>
      <c r="G130" s="1301"/>
      <c r="H130" s="1302"/>
      <c r="I130" s="1302"/>
      <c r="J130" s="1302"/>
      <c r="K130" s="1302"/>
      <c r="L130" s="1293"/>
      <c r="M130" s="1293"/>
      <c r="N130" s="1293"/>
      <c r="O130" s="1293"/>
      <c r="P130" s="1294"/>
      <c r="Q130" s="1295">
        <f t="shared" si="1"/>
        <v>0</v>
      </c>
      <c r="R130" s="1296"/>
      <c r="S130" s="1296"/>
      <c r="T130" s="1296"/>
      <c r="U130" s="1297"/>
      <c r="V130" s="23"/>
    </row>
    <row r="131" spans="1:39" s="16" customFormat="1" ht="15.75" customHeight="1" x14ac:dyDescent="0.2">
      <c r="A131" s="46" t="s">
        <v>135</v>
      </c>
      <c r="B131" s="42"/>
      <c r="C131" s="42"/>
      <c r="D131" s="53"/>
      <c r="E131" s="53"/>
      <c r="F131" s="53"/>
      <c r="G131" s="1289">
        <f>'[1]3.LRA'!D10</f>
        <v>132512250</v>
      </c>
      <c r="H131" s="1290"/>
      <c r="I131" s="1290"/>
      <c r="J131" s="1290"/>
      <c r="K131" s="1291"/>
      <c r="L131" s="1292">
        <f>'[1]3.LRA'!E10</f>
        <v>9664338468</v>
      </c>
      <c r="M131" s="1293"/>
      <c r="N131" s="1293"/>
      <c r="O131" s="1293"/>
      <c r="P131" s="1294"/>
      <c r="Q131" s="1298">
        <f t="shared" si="1"/>
        <v>9531826218</v>
      </c>
      <c r="R131" s="1299"/>
      <c r="S131" s="1299"/>
      <c r="T131" s="1299"/>
      <c r="U131" s="1300"/>
      <c r="V131" s="23"/>
    </row>
    <row r="132" spans="1:39" s="16" customFormat="1" ht="15.75" customHeight="1" x14ac:dyDescent="0.2">
      <c r="A132" s="46" t="s">
        <v>136</v>
      </c>
      <c r="B132" s="42"/>
      <c r="C132" s="42"/>
      <c r="D132" s="53"/>
      <c r="E132" s="53"/>
      <c r="F132" s="53"/>
      <c r="G132" s="1289">
        <f>'[1]3.LRA'!D11</f>
        <v>7527695000</v>
      </c>
      <c r="H132" s="1290"/>
      <c r="I132" s="1290"/>
      <c r="J132" s="1290"/>
      <c r="K132" s="1291"/>
      <c r="L132" s="1292">
        <f>'[1]3.LRA'!E11</f>
        <v>2507400000</v>
      </c>
      <c r="M132" s="1293"/>
      <c r="N132" s="1293"/>
      <c r="O132" s="1293"/>
      <c r="P132" s="1294"/>
      <c r="Q132" s="1298">
        <f t="shared" si="1"/>
        <v>-5020295000</v>
      </c>
      <c r="R132" s="1299"/>
      <c r="S132" s="1299"/>
      <c r="T132" s="1299"/>
      <c r="U132" s="1300"/>
      <c r="V132" s="23"/>
    </row>
    <row r="133" spans="1:39" s="16" customFormat="1" ht="15.75" customHeight="1" x14ac:dyDescent="0.2">
      <c r="A133" s="46" t="s">
        <v>137</v>
      </c>
      <c r="B133" s="42"/>
      <c r="C133" s="42"/>
      <c r="D133" s="53"/>
      <c r="E133" s="53"/>
      <c r="F133" s="53"/>
      <c r="G133" s="1289">
        <f>'[1]3.LRA'!D12</f>
        <v>0</v>
      </c>
      <c r="H133" s="1290"/>
      <c r="I133" s="1290"/>
      <c r="J133" s="1290"/>
      <c r="K133" s="1291"/>
      <c r="L133" s="1292">
        <f>'[1]3.LRA'!E12</f>
        <v>0</v>
      </c>
      <c r="M133" s="1293"/>
      <c r="N133" s="1293"/>
      <c r="O133" s="1293"/>
      <c r="P133" s="1294"/>
      <c r="Q133" s="1295">
        <f t="shared" si="1"/>
        <v>0</v>
      </c>
      <c r="R133" s="1296"/>
      <c r="S133" s="1296"/>
      <c r="T133" s="1296"/>
      <c r="U133" s="1297"/>
      <c r="V133" s="23"/>
    </row>
    <row r="134" spans="1:39" s="16" customFormat="1" ht="15.75" customHeight="1" x14ac:dyDescent="0.2">
      <c r="A134" s="46" t="s">
        <v>138</v>
      </c>
      <c r="B134" s="42"/>
      <c r="C134" s="42"/>
      <c r="D134" s="53"/>
      <c r="E134" s="53"/>
      <c r="F134" s="53"/>
      <c r="G134" s="1289">
        <f>'[1]3.LRA'!D13</f>
        <v>0</v>
      </c>
      <c r="H134" s="1290"/>
      <c r="I134" s="1290"/>
      <c r="J134" s="1290"/>
      <c r="K134" s="1291"/>
      <c r="L134" s="1292">
        <f>'[1]3.LRA'!E13</f>
        <v>0</v>
      </c>
      <c r="M134" s="1293"/>
      <c r="N134" s="1293"/>
      <c r="O134" s="1293"/>
      <c r="P134" s="1294"/>
      <c r="Q134" s="1295">
        <f t="shared" si="1"/>
        <v>0</v>
      </c>
      <c r="R134" s="1296"/>
      <c r="S134" s="1296"/>
      <c r="T134" s="1296"/>
      <c r="U134" s="1297"/>
      <c r="V134" s="23"/>
    </row>
    <row r="135" spans="1:39" s="16" customFormat="1" ht="15.75" customHeight="1" x14ac:dyDescent="0.2">
      <c r="A135" s="48" t="s">
        <v>139</v>
      </c>
      <c r="B135" s="49"/>
      <c r="C135" s="50"/>
      <c r="D135" s="50"/>
      <c r="E135" s="50"/>
      <c r="F135" s="50"/>
      <c r="G135" s="1249">
        <f>SUM(G131:M134)</f>
        <v>19831945718</v>
      </c>
      <c r="H135" s="1250"/>
      <c r="I135" s="1250"/>
      <c r="J135" s="1250"/>
      <c r="K135" s="1251"/>
      <c r="L135" s="1249">
        <f>SUM(L131:Q134)</f>
        <v>16683269686</v>
      </c>
      <c r="M135" s="1250"/>
      <c r="N135" s="1250"/>
      <c r="O135" s="1250"/>
      <c r="P135" s="1251"/>
      <c r="Q135" s="1275">
        <f>SUM(Q131:U134)</f>
        <v>4511531218</v>
      </c>
      <c r="R135" s="1276"/>
      <c r="S135" s="1276"/>
      <c r="T135" s="1276"/>
      <c r="U135" s="1277"/>
      <c r="V135" s="23"/>
    </row>
    <row r="136" spans="1:39" s="16" customFormat="1" ht="15.75" customHeight="1" x14ac:dyDescent="0.2">
      <c r="A136" s="48" t="s">
        <v>140</v>
      </c>
      <c r="B136" s="49"/>
      <c r="C136" s="50"/>
      <c r="D136" s="50"/>
      <c r="E136" s="50"/>
      <c r="F136" s="50"/>
      <c r="G136" s="1249">
        <f>G129-G135</f>
        <v>-16118945718</v>
      </c>
      <c r="H136" s="1250"/>
      <c r="I136" s="1250"/>
      <c r="J136" s="1250"/>
      <c r="K136" s="1251"/>
      <c r="L136" s="1275">
        <f>L129-L135</f>
        <v>-12854340686</v>
      </c>
      <c r="M136" s="1276"/>
      <c r="N136" s="1276"/>
      <c r="O136" s="1276"/>
      <c r="P136" s="1277"/>
      <c r="Q136" s="1275">
        <f>Q129-Q135</f>
        <v>-4395602218</v>
      </c>
      <c r="R136" s="1276"/>
      <c r="S136" s="1276"/>
      <c r="T136" s="1276"/>
      <c r="U136" s="1277"/>
      <c r="V136" s="23"/>
    </row>
    <row r="137" spans="1:39" s="16" customFormat="1" ht="15.75" customHeight="1" x14ac:dyDescent="0.2">
      <c r="A137" s="14"/>
      <c r="B137" s="54"/>
      <c r="C137" s="54"/>
      <c r="D137" s="54"/>
      <c r="E137" s="54"/>
      <c r="F137" s="54"/>
      <c r="G137" s="54"/>
      <c r="H137" s="54"/>
      <c r="I137" s="54"/>
      <c r="J137" s="55"/>
      <c r="K137" s="55"/>
      <c r="L137" s="55"/>
      <c r="M137" s="55"/>
      <c r="N137" s="55"/>
      <c r="O137" s="55"/>
      <c r="P137" s="55"/>
      <c r="Q137" s="55"/>
      <c r="R137" s="55"/>
      <c r="S137" s="55"/>
      <c r="T137" s="55"/>
      <c r="U137" s="55"/>
      <c r="V137" s="23"/>
    </row>
    <row r="138" spans="1:39" s="16" customFormat="1" ht="48" customHeight="1" x14ac:dyDescent="0.2">
      <c r="A138" s="14"/>
      <c r="B138" s="54"/>
      <c r="C138" s="1179" t="str">
        <f>"Realisasi Pendapatan, Belanja dan Pembiayaan untuk periode yang berakhir pada tanggal "&amp;'[1]2.ISIAN DATA SKPD'!D10&amp;" sebagaimana tabel dibawah ini :"</f>
        <v>Realisasi Pendapatan, Belanja dan Pembiayaan untuk periode yang berakhir pada tanggal 31 Desember 2018 sebagaimana tabel dibawah ini :</v>
      </c>
      <c r="D138" s="1179"/>
      <c r="E138" s="1179"/>
      <c r="F138" s="1179"/>
      <c r="G138" s="1179"/>
      <c r="H138" s="1179"/>
      <c r="I138" s="1179"/>
      <c r="J138" s="1179"/>
      <c r="K138" s="1179"/>
      <c r="L138" s="1179"/>
      <c r="M138" s="1179"/>
      <c r="N138" s="1179"/>
      <c r="O138" s="1179"/>
      <c r="P138" s="1179"/>
      <c r="Q138" s="1179"/>
      <c r="R138" s="1179"/>
      <c r="S138" s="1179"/>
      <c r="T138" s="1179"/>
      <c r="U138" s="1179"/>
      <c r="V138" s="1288"/>
      <c r="W138" s="1288"/>
      <c r="X138" s="1288"/>
      <c r="Y138" s="1288"/>
      <c r="Z138" s="1288"/>
      <c r="AA138" s="1288"/>
      <c r="AB138" s="1288"/>
      <c r="AC138" s="1288"/>
      <c r="AD138" s="1288"/>
      <c r="AE138" s="1288"/>
      <c r="AF138" s="1288"/>
      <c r="AG138" s="1288"/>
      <c r="AH138" s="1288"/>
      <c r="AI138" s="1288"/>
      <c r="AJ138" s="1288"/>
      <c r="AK138" s="1288"/>
      <c r="AL138" s="1288"/>
      <c r="AM138" s="1288"/>
    </row>
    <row r="139" spans="1:39" s="16" customFormat="1" ht="18" customHeight="1" x14ac:dyDescent="0.2">
      <c r="A139" s="14"/>
      <c r="B139" s="54"/>
      <c r="C139" s="56"/>
      <c r="D139" s="56"/>
      <c r="E139" s="56"/>
      <c r="F139" s="56"/>
      <c r="G139" s="56"/>
      <c r="H139" s="56"/>
      <c r="I139" s="56"/>
      <c r="J139" s="56"/>
      <c r="K139" s="56"/>
      <c r="L139" s="56"/>
      <c r="M139" s="56"/>
      <c r="N139" s="56"/>
      <c r="O139" s="56"/>
      <c r="P139" s="56"/>
      <c r="Q139" s="56"/>
      <c r="R139" s="56"/>
      <c r="S139" s="56"/>
      <c r="T139" s="56"/>
      <c r="U139" s="56"/>
      <c r="V139" s="57"/>
      <c r="W139" s="57"/>
      <c r="X139" s="57"/>
      <c r="Y139" s="57"/>
      <c r="Z139" s="57"/>
      <c r="AA139" s="57"/>
      <c r="AB139" s="57"/>
      <c r="AC139" s="57"/>
      <c r="AD139" s="57"/>
      <c r="AE139" s="57"/>
      <c r="AF139" s="57"/>
      <c r="AG139" s="57"/>
      <c r="AH139" s="57"/>
      <c r="AI139" s="57"/>
      <c r="AJ139" s="57"/>
      <c r="AK139" s="57"/>
      <c r="AL139" s="57"/>
      <c r="AM139" s="57"/>
    </row>
    <row r="140" spans="1:39" s="16" customFormat="1" ht="15.75" customHeight="1" x14ac:dyDescent="0.2">
      <c r="A140" s="945" t="str">
        <f>"Ikhtisar Anggaran dan Realisasi TA "&amp;'[1]2.ISIAN DATA SKPD'!D11&amp;""</f>
        <v>Ikhtisar Anggaran dan Realisasi TA 2018</v>
      </c>
      <c r="B140" s="945"/>
      <c r="C140" s="945"/>
      <c r="D140" s="945"/>
      <c r="E140" s="945"/>
      <c r="F140" s="945"/>
      <c r="G140" s="945"/>
      <c r="H140" s="945"/>
      <c r="I140" s="945"/>
      <c r="J140" s="945"/>
      <c r="K140" s="945"/>
      <c r="L140" s="945"/>
      <c r="M140" s="945"/>
      <c r="N140" s="945"/>
      <c r="O140" s="945"/>
      <c r="P140" s="945"/>
      <c r="Q140" s="945"/>
      <c r="R140" s="945"/>
      <c r="S140" s="945"/>
      <c r="T140" s="945"/>
      <c r="U140" s="945"/>
      <c r="V140" s="23"/>
    </row>
    <row r="141" spans="1:39" s="16" customFormat="1" ht="32.25" customHeight="1" x14ac:dyDescent="0.2">
      <c r="A141" s="1271" t="s">
        <v>125</v>
      </c>
      <c r="B141" s="1272"/>
      <c r="C141" s="1272"/>
      <c r="D141" s="1273"/>
      <c r="E141" s="897" t="s">
        <v>141</v>
      </c>
      <c r="F141" s="898"/>
      <c r="G141" s="898"/>
      <c r="H141" s="898"/>
      <c r="I141" s="898"/>
      <c r="J141" s="1274"/>
      <c r="K141" s="1041" t="str">
        <f>"Realisasi TA "&amp;'[1]2.ISIAN DATA SKPD'!D11&amp;""</f>
        <v>Realisasi TA 2018</v>
      </c>
      <c r="L141" s="1042"/>
      <c r="M141" s="1042"/>
      <c r="N141" s="1042"/>
      <c r="O141" s="1043"/>
      <c r="P141" s="562" t="s">
        <v>142</v>
      </c>
      <c r="Q141" s="562"/>
      <c r="R141" s="562"/>
      <c r="S141" s="562"/>
      <c r="T141" s="562" t="s">
        <v>143</v>
      </c>
      <c r="U141" s="562"/>
      <c r="V141" s="23"/>
    </row>
    <row r="142" spans="1:39" s="16" customFormat="1" ht="15.75" customHeight="1" x14ac:dyDescent="0.25">
      <c r="A142" s="41" t="s">
        <v>144</v>
      </c>
      <c r="B142" s="43"/>
      <c r="C142" s="43"/>
      <c r="D142" s="43"/>
      <c r="E142" s="1264"/>
      <c r="F142" s="1265"/>
      <c r="G142" s="1265"/>
      <c r="H142" s="1265"/>
      <c r="I142" s="1265"/>
      <c r="J142" s="1266"/>
      <c r="K142" s="1267"/>
      <c r="L142" s="1268"/>
      <c r="M142" s="1268"/>
      <c r="N142" s="1268"/>
      <c r="O142" s="1269"/>
      <c r="P142" s="1286"/>
      <c r="Q142" s="1286"/>
      <c r="R142" s="1286"/>
      <c r="S142" s="1286"/>
      <c r="T142" s="1287"/>
      <c r="U142" s="1287"/>
      <c r="V142" s="23"/>
    </row>
    <row r="143" spans="1:39" s="16" customFormat="1" ht="15.75" customHeight="1" x14ac:dyDescent="0.25">
      <c r="A143" s="44" t="s">
        <v>129</v>
      </c>
      <c r="C143" s="45"/>
      <c r="D143" s="45"/>
      <c r="E143" s="1254">
        <f>'[1]3.LRA'!D18</f>
        <v>3828929</v>
      </c>
      <c r="F143" s="1255"/>
      <c r="G143" s="1255"/>
      <c r="H143" s="1255"/>
      <c r="I143" s="1255"/>
      <c r="J143" s="1256"/>
      <c r="K143" s="1281">
        <f>'[1]3.LRA'!E18</f>
        <v>12984000</v>
      </c>
      <c r="L143" s="1282"/>
      <c r="M143" s="1282"/>
      <c r="N143" s="1282"/>
      <c r="O143" s="1283"/>
      <c r="P143" s="1284">
        <f>K143-E143</f>
        <v>9155071</v>
      </c>
      <c r="Q143" s="1284"/>
      <c r="R143" s="1284"/>
      <c r="S143" s="1284"/>
      <c r="T143" s="1280">
        <f>K143/E143*100</f>
        <v>339.10265768835097</v>
      </c>
      <c r="U143" s="1280"/>
      <c r="V143" s="23"/>
    </row>
    <row r="144" spans="1:39" s="16" customFormat="1" ht="15.75" customHeight="1" x14ac:dyDescent="0.25">
      <c r="A144" s="46" t="s">
        <v>134</v>
      </c>
      <c r="B144" s="42"/>
      <c r="C144" s="47"/>
      <c r="D144" s="47"/>
      <c r="E144" s="1254">
        <f>'[1]3.LRA'!D37</f>
        <v>27821118796</v>
      </c>
      <c r="F144" s="1255"/>
      <c r="G144" s="1255"/>
      <c r="H144" s="1255"/>
      <c r="I144" s="1255"/>
      <c r="J144" s="1256"/>
      <c r="K144" s="1281">
        <f>'[1]3.LRA'!E37</f>
        <v>92329325206</v>
      </c>
      <c r="L144" s="1282"/>
      <c r="M144" s="1282"/>
      <c r="N144" s="1282"/>
      <c r="O144" s="1283"/>
      <c r="P144" s="1284">
        <f t="shared" ref="P144:P150" si="2">K144-E144</f>
        <v>64508206410</v>
      </c>
      <c r="Q144" s="1284"/>
      <c r="R144" s="1284"/>
      <c r="S144" s="1284"/>
      <c r="T144" s="1280">
        <f>K144/E144*100</f>
        <v>331.86776521465669</v>
      </c>
      <c r="U144" s="1280"/>
      <c r="V144" s="23"/>
    </row>
    <row r="145" spans="1:22" s="16" customFormat="1" ht="15.75" customHeight="1" x14ac:dyDescent="0.15">
      <c r="A145" s="48" t="s">
        <v>145</v>
      </c>
      <c r="B145" s="50"/>
      <c r="C145" s="50"/>
      <c r="D145" s="50"/>
      <c r="E145" s="1249">
        <f>E143-E144</f>
        <v>-27817289867</v>
      </c>
      <c r="F145" s="1250"/>
      <c r="G145" s="1250"/>
      <c r="H145" s="1250"/>
      <c r="I145" s="1250"/>
      <c r="J145" s="1251"/>
      <c r="K145" s="1275">
        <f>K143-K144</f>
        <v>-92316341206</v>
      </c>
      <c r="L145" s="1276"/>
      <c r="M145" s="1276"/>
      <c r="N145" s="1276"/>
      <c r="O145" s="1277"/>
      <c r="P145" s="1252">
        <f t="shared" si="2"/>
        <v>-64499051339</v>
      </c>
      <c r="Q145" s="1252"/>
      <c r="R145" s="1252"/>
      <c r="S145" s="1252"/>
      <c r="T145" s="1280">
        <f>K145/E145*100</f>
        <v>331.86676936316519</v>
      </c>
      <c r="U145" s="1280"/>
      <c r="V145" s="23"/>
    </row>
    <row r="146" spans="1:22" s="16" customFormat="1" ht="15.75" customHeight="1" x14ac:dyDescent="0.25">
      <c r="A146" s="51" t="s">
        <v>146</v>
      </c>
      <c r="B146" s="42"/>
      <c r="C146" s="53"/>
      <c r="D146" s="53"/>
      <c r="E146" s="1261"/>
      <c r="F146" s="1262"/>
      <c r="G146" s="1262"/>
      <c r="H146" s="1262"/>
      <c r="I146" s="1262"/>
      <c r="J146" s="1263"/>
      <c r="K146" s="1281"/>
      <c r="L146" s="1282"/>
      <c r="M146" s="1282"/>
      <c r="N146" s="1282"/>
      <c r="O146" s="1283"/>
      <c r="P146" s="1284">
        <f t="shared" si="2"/>
        <v>0</v>
      </c>
      <c r="Q146" s="1284"/>
      <c r="R146" s="1284"/>
      <c r="S146" s="1284"/>
      <c r="T146" s="1285">
        <v>0</v>
      </c>
      <c r="U146" s="1285"/>
      <c r="V146" s="23"/>
    </row>
    <row r="147" spans="1:22" s="16" customFormat="1" ht="15.75" customHeight="1" x14ac:dyDescent="0.25">
      <c r="A147" s="46" t="s">
        <v>147</v>
      </c>
      <c r="B147" s="42"/>
      <c r="C147" s="53"/>
      <c r="D147" s="53"/>
      <c r="E147" s="1261">
        <f>'[1]3.LRA'!D107</f>
        <v>0</v>
      </c>
      <c r="F147" s="1262"/>
      <c r="G147" s="1262"/>
      <c r="H147" s="1262"/>
      <c r="I147" s="1262"/>
      <c r="J147" s="1263"/>
      <c r="K147" s="1281">
        <f>'[1]3.LRA'!E107</f>
        <v>0</v>
      </c>
      <c r="L147" s="1282"/>
      <c r="M147" s="1282"/>
      <c r="N147" s="1282"/>
      <c r="O147" s="1283"/>
      <c r="P147" s="1284">
        <f t="shared" si="2"/>
        <v>0</v>
      </c>
      <c r="Q147" s="1284"/>
      <c r="R147" s="1284"/>
      <c r="S147" s="1284"/>
      <c r="T147" s="1285">
        <v>0</v>
      </c>
      <c r="U147" s="1285"/>
      <c r="V147" s="23"/>
    </row>
    <row r="148" spans="1:22" s="16" customFormat="1" ht="15.75" customHeight="1" x14ac:dyDescent="0.25">
      <c r="A148" s="46" t="s">
        <v>148</v>
      </c>
      <c r="B148" s="42"/>
      <c r="C148" s="53"/>
      <c r="D148" s="53"/>
      <c r="E148" s="1261">
        <f>'[1]3.LRA'!D113</f>
        <v>0</v>
      </c>
      <c r="F148" s="1262"/>
      <c r="G148" s="1262"/>
      <c r="H148" s="1262"/>
      <c r="I148" s="1262"/>
      <c r="J148" s="1263"/>
      <c r="K148" s="1281">
        <f>'[1]3.LRA'!E113</f>
        <v>0</v>
      </c>
      <c r="L148" s="1282"/>
      <c r="M148" s="1282"/>
      <c r="N148" s="1282"/>
      <c r="O148" s="1283"/>
      <c r="P148" s="1284">
        <f t="shared" si="2"/>
        <v>0</v>
      </c>
      <c r="Q148" s="1284"/>
      <c r="R148" s="1284"/>
      <c r="S148" s="1284"/>
      <c r="T148" s="1285">
        <v>0</v>
      </c>
      <c r="U148" s="1285"/>
      <c r="V148" s="23"/>
    </row>
    <row r="149" spans="1:22" s="16" customFormat="1" ht="15.75" customHeight="1" x14ac:dyDescent="0.25">
      <c r="A149" s="48" t="s">
        <v>149</v>
      </c>
      <c r="B149" s="50"/>
      <c r="C149" s="50"/>
      <c r="D149" s="50"/>
      <c r="E149" s="1249">
        <f>E147-E148</f>
        <v>0</v>
      </c>
      <c r="F149" s="1250"/>
      <c r="G149" s="1250"/>
      <c r="H149" s="1250"/>
      <c r="I149" s="1250"/>
      <c r="J149" s="1251"/>
      <c r="K149" s="1275">
        <f>K147-K148</f>
        <v>0</v>
      </c>
      <c r="L149" s="1276"/>
      <c r="M149" s="1276"/>
      <c r="N149" s="1276"/>
      <c r="O149" s="1277"/>
      <c r="P149" s="1278">
        <f t="shared" si="2"/>
        <v>0</v>
      </c>
      <c r="Q149" s="1278"/>
      <c r="R149" s="1278"/>
      <c r="S149" s="1278"/>
      <c r="T149" s="1279">
        <v>0</v>
      </c>
      <c r="U149" s="1279"/>
      <c r="V149" s="23"/>
    </row>
    <row r="150" spans="1:22" s="16" customFormat="1" ht="15.75" customHeight="1" x14ac:dyDescent="0.15">
      <c r="A150" s="48" t="s">
        <v>150</v>
      </c>
      <c r="B150" s="50"/>
      <c r="C150" s="50"/>
      <c r="D150" s="50"/>
      <c r="E150" s="1249">
        <f>E145+E149</f>
        <v>-27817289867</v>
      </c>
      <c r="F150" s="1250"/>
      <c r="G150" s="1250"/>
      <c r="H150" s="1250"/>
      <c r="I150" s="1250"/>
      <c r="J150" s="1251"/>
      <c r="K150" s="1275">
        <f>K145+K149</f>
        <v>-92316341206</v>
      </c>
      <c r="L150" s="1276"/>
      <c r="M150" s="1276"/>
      <c r="N150" s="1276"/>
      <c r="O150" s="1277"/>
      <c r="P150" s="1252">
        <f t="shared" si="2"/>
        <v>-64499051339</v>
      </c>
      <c r="Q150" s="1252"/>
      <c r="R150" s="1252"/>
      <c r="S150" s="1252"/>
      <c r="T150" s="1280">
        <f>K150/E150*100</f>
        <v>331.86676936316519</v>
      </c>
      <c r="U150" s="1280"/>
      <c r="V150" s="23"/>
    </row>
    <row r="151" spans="1:22" s="16" customFormat="1" ht="15.75" customHeight="1" x14ac:dyDescent="0.15">
      <c r="A151" s="54"/>
      <c r="B151" s="54"/>
      <c r="C151" s="54"/>
      <c r="D151" s="54"/>
      <c r="E151" s="58"/>
      <c r="F151" s="58"/>
      <c r="G151" s="58"/>
      <c r="H151" s="58"/>
      <c r="I151" s="58"/>
      <c r="J151" s="58"/>
      <c r="K151" s="59"/>
      <c r="L151" s="59"/>
      <c r="M151" s="59"/>
      <c r="N151" s="59"/>
      <c r="O151" s="59"/>
      <c r="P151" s="60"/>
      <c r="Q151" s="60"/>
      <c r="R151" s="60"/>
      <c r="S151" s="60"/>
      <c r="T151" s="61"/>
      <c r="U151" s="61"/>
      <c r="V151" s="23"/>
    </row>
    <row r="152" spans="1:22" s="16" customFormat="1" ht="15.75" customHeight="1" x14ac:dyDescent="0.15">
      <c r="A152" s="54"/>
      <c r="B152" s="54"/>
      <c r="C152" s="54"/>
      <c r="D152" s="54"/>
      <c r="E152" s="58"/>
      <c r="F152" s="58"/>
      <c r="G152" s="58"/>
      <c r="H152" s="58"/>
      <c r="I152" s="58"/>
      <c r="J152" s="58"/>
      <c r="K152" s="59"/>
      <c r="L152" s="59"/>
      <c r="M152" s="59"/>
      <c r="N152" s="59"/>
      <c r="O152" s="59"/>
      <c r="P152" s="60"/>
      <c r="Q152" s="60"/>
      <c r="R152" s="60"/>
      <c r="S152" s="60"/>
      <c r="T152" s="61"/>
      <c r="U152" s="61"/>
      <c r="V152" s="23"/>
    </row>
    <row r="153" spans="1:22" s="16" customFormat="1" ht="15.75" customHeight="1" x14ac:dyDescent="0.2">
      <c r="A153" s="14"/>
      <c r="C153" s="23" t="s">
        <v>151</v>
      </c>
      <c r="D153" s="23"/>
      <c r="E153" s="23"/>
      <c r="F153" s="23"/>
      <c r="G153" s="23"/>
      <c r="H153" s="23"/>
      <c r="I153" s="23"/>
      <c r="J153" s="55"/>
      <c r="K153" s="55"/>
      <c r="L153" s="55"/>
      <c r="M153" s="55"/>
      <c r="N153" s="55"/>
      <c r="O153" s="55"/>
      <c r="P153" s="55"/>
      <c r="Q153" s="55"/>
      <c r="R153" s="55"/>
      <c r="S153" s="55"/>
      <c r="T153" s="55"/>
      <c r="U153" s="55"/>
      <c r="V153" s="23"/>
    </row>
    <row r="154" spans="1:22" s="16" customFormat="1" ht="64.5" customHeight="1" x14ac:dyDescent="0.2">
      <c r="A154" s="14"/>
      <c r="B154" s="23"/>
      <c r="C154" s="27" t="s">
        <v>152</v>
      </c>
      <c r="D154" s="400" t="str">
        <f>"Pendapatan Tahun Anggaran "&amp;'[1]2.ISIAN DATA SKPD'!D11&amp;" dapat terealisasi sebesar Rp. "&amp;FIXED(K143)&amp;" atau "&amp;FIXED(T143)&amp;"% dari anggaran pendapatan yang telah ditetapkan sebesar Rp. "&amp;FIXED(E143)&amp;" atau kurang dari anggaran sebesar Rp."&amp;FIXED(P143)&amp;"."</f>
        <v>Pendapatan Tahun Anggaran 2018 dapat terealisasi sebesar Rp. 12.984.000,00 atau 339,10% dari anggaran pendapatan yang telah ditetapkan sebesar Rp. 3.828.929,00 atau kurang dari anggaran sebesar Rp.9.155.071,00.</v>
      </c>
      <c r="E154" s="400"/>
      <c r="F154" s="400"/>
      <c r="G154" s="400"/>
      <c r="H154" s="400"/>
      <c r="I154" s="400"/>
      <c r="J154" s="400"/>
      <c r="K154" s="400"/>
      <c r="L154" s="400"/>
      <c r="M154" s="400"/>
      <c r="N154" s="400"/>
      <c r="O154" s="400"/>
      <c r="P154" s="400"/>
      <c r="Q154" s="400"/>
      <c r="R154" s="400"/>
      <c r="S154" s="400"/>
      <c r="T154" s="400"/>
      <c r="U154" s="400"/>
      <c r="V154" s="23"/>
    </row>
    <row r="155" spans="1:22" s="16" customFormat="1" ht="61.5" customHeight="1" x14ac:dyDescent="0.2">
      <c r="A155" s="14"/>
      <c r="B155" s="23"/>
      <c r="C155" s="62" t="s">
        <v>153</v>
      </c>
      <c r="D155" s="400" t="str">
        <f>"Belanja Tahun Anggaran "&amp;'[1]2.ISIAN DATA SKPD'!D11&amp;" dapat terealisasi sebesar Rp. "&amp;FIXED(K144)&amp;" atau "&amp;FIXED(T144)&amp;"% dari anggaran belanja yang telah ditetapkan sebesar Rp. "&amp;FIXED(E144)&amp;" atau kurang dari anggaran sebesar Rp."&amp;FIXED(P144)&amp;"."</f>
        <v>Belanja Tahun Anggaran 2018 dapat terealisasi sebesar Rp. 92.329.325.206,00 atau 331,87% dari anggaran belanja yang telah ditetapkan sebesar Rp. 27.821.118.796,00 atau kurang dari anggaran sebesar Rp.64.508.206.410,00.</v>
      </c>
      <c r="E155" s="400"/>
      <c r="F155" s="400"/>
      <c r="G155" s="400"/>
      <c r="H155" s="400"/>
      <c r="I155" s="400"/>
      <c r="J155" s="400"/>
      <c r="K155" s="400"/>
      <c r="L155" s="400"/>
      <c r="M155" s="400"/>
      <c r="N155" s="400"/>
      <c r="O155" s="400"/>
      <c r="P155" s="400"/>
      <c r="Q155" s="400"/>
      <c r="R155" s="400"/>
      <c r="S155" s="400"/>
      <c r="T155" s="400"/>
      <c r="U155" s="400"/>
      <c r="V155" s="23"/>
    </row>
    <row r="156" spans="1:22" s="16" customFormat="1" ht="49.5" customHeight="1" x14ac:dyDescent="0.2">
      <c r="A156" s="14"/>
      <c r="B156" s="23"/>
      <c r="C156" s="62" t="s">
        <v>154</v>
      </c>
      <c r="D156" s="400" t="str">
        <f>"Surplus/(defisit) anggaran untuk periode yang berakhir pada "&amp;'[1]2.ISIAN DATA SKPD'!D10 &amp;" adalah sebesar Rp. "&amp;FIXED(K145) &amp;" yang diperoleh dari realisasi pendapatan dikurangi realisasi belanja."</f>
        <v>Surplus/(defisit) anggaran untuk periode yang berakhir pada 31 Desember 2018 adalah sebesar Rp. -92.316.341.206,00 yang diperoleh dari realisasi pendapatan dikurangi realisasi belanja.</v>
      </c>
      <c r="E156" s="400"/>
      <c r="F156" s="400"/>
      <c r="G156" s="400"/>
      <c r="H156" s="400"/>
      <c r="I156" s="400"/>
      <c r="J156" s="400"/>
      <c r="K156" s="400"/>
      <c r="L156" s="400"/>
      <c r="M156" s="400"/>
      <c r="N156" s="400"/>
      <c r="O156" s="400"/>
      <c r="P156" s="400"/>
      <c r="Q156" s="400"/>
      <c r="R156" s="400"/>
      <c r="S156" s="400"/>
      <c r="T156" s="400"/>
      <c r="U156" s="400"/>
      <c r="V156" s="23"/>
    </row>
    <row r="157" spans="1:22" s="16" customFormat="1" ht="61.5" customHeight="1" x14ac:dyDescent="0.2">
      <c r="A157" s="14"/>
      <c r="B157" s="23"/>
      <c r="C157" s="62" t="s">
        <v>155</v>
      </c>
      <c r="D157" s="400" t="str">
        <f>"Pembiayaan Netto untuk periode yang berakhir pada "&amp;'[1]2.ISIAN DATA SKPD'!D9 &amp;" adalah sebesar Rp. "&amp;FIXED(K149) &amp;" atau mencapai  "&amp;FIXED(T149)&amp;"% dari anggaran yang ditetapkan sebesar Rp. "&amp;FIXED(E149)&amp;"."</f>
        <v>Pembiayaan Netto untuk periode yang berakhir pada 31 Desember 2017 adalah sebesar Rp. 0,00 atau mencapai  0,00% dari anggaran yang ditetapkan sebesar Rp. 0,00.</v>
      </c>
      <c r="E157" s="400"/>
      <c r="F157" s="400"/>
      <c r="G157" s="400"/>
      <c r="H157" s="400"/>
      <c r="I157" s="400"/>
      <c r="J157" s="400"/>
      <c r="K157" s="400"/>
      <c r="L157" s="400"/>
      <c r="M157" s="400"/>
      <c r="N157" s="400"/>
      <c r="O157" s="400"/>
      <c r="P157" s="400"/>
      <c r="Q157" s="400"/>
      <c r="R157" s="400"/>
      <c r="S157" s="400"/>
      <c r="T157" s="400"/>
      <c r="U157" s="400"/>
      <c r="V157" s="23"/>
    </row>
    <row r="158" spans="1:22" s="16" customFormat="1" ht="46.5" customHeight="1" x14ac:dyDescent="0.2">
      <c r="A158" s="14"/>
      <c r="B158" s="23"/>
      <c r="C158" s="62" t="s">
        <v>156</v>
      </c>
      <c r="D158" s="400" t="str">
        <f>"SILPA untuk periode yang berakhir pada "&amp;'[1]2.ISIAN DATA SKPD'!D10 &amp;" mencapai sebesar Rp. "&amp;FIXED(K150) &amp;" naik sebesar Rp. "&amp;FIXED(P150)&amp;" dari tahun anggaran 2016 atau "&amp;FIXED(T150)&amp;"%."</f>
        <v>SILPA untuk periode yang berakhir pada 31 Desember 2018 mencapai sebesar Rp. -92.316.341.206,00 naik sebesar Rp. -64.499.051.339,00 dari tahun anggaran 2016 atau 331,87%.</v>
      </c>
      <c r="E158" s="400"/>
      <c r="F158" s="400"/>
      <c r="G158" s="400"/>
      <c r="H158" s="400"/>
      <c r="I158" s="400"/>
      <c r="J158" s="400"/>
      <c r="K158" s="400"/>
      <c r="L158" s="400"/>
      <c r="M158" s="400"/>
      <c r="N158" s="400"/>
      <c r="O158" s="400"/>
      <c r="P158" s="400"/>
      <c r="Q158" s="400"/>
      <c r="R158" s="400"/>
      <c r="S158" s="400"/>
      <c r="T158" s="400"/>
      <c r="U158" s="400"/>
      <c r="V158" s="23"/>
    </row>
    <row r="159" spans="1:22" s="16" customFormat="1" ht="12.75" customHeight="1" x14ac:dyDescent="0.2">
      <c r="A159" s="14"/>
      <c r="B159" s="62"/>
      <c r="C159" s="62"/>
      <c r="D159" s="62"/>
      <c r="E159" s="62"/>
      <c r="F159" s="62"/>
      <c r="G159" s="62"/>
      <c r="H159" s="62"/>
      <c r="I159" s="62"/>
      <c r="J159" s="62"/>
      <c r="K159" s="62"/>
      <c r="L159" s="63"/>
      <c r="M159" s="63"/>
      <c r="N159" s="63"/>
      <c r="O159" s="63"/>
      <c r="P159" s="63"/>
      <c r="Q159" s="63"/>
      <c r="R159" s="63"/>
      <c r="S159" s="63"/>
      <c r="T159" s="63"/>
      <c r="U159" s="63"/>
      <c r="V159" s="23"/>
    </row>
    <row r="160" spans="1:22" s="16" customFormat="1" ht="16.5" customHeight="1" x14ac:dyDescent="0.2">
      <c r="A160" s="14"/>
      <c r="B160" s="7" t="str">
        <f>"2.1.2. Realisasi TA "&amp;'[1]2.ISIAN DATA SKPD'!D11&amp;" Dibandingkan Dengan Realisasi TA "&amp;'[1]2.ISIAN DATA SKPD'!D12&amp;""</f>
        <v>2.1.2. Realisasi TA 2018 Dibandingkan Dengan Realisasi TA 2017</v>
      </c>
      <c r="C160" s="28"/>
      <c r="D160" s="28"/>
      <c r="E160" s="28"/>
      <c r="F160" s="28"/>
      <c r="G160" s="28"/>
      <c r="H160" s="28"/>
      <c r="I160" s="28"/>
      <c r="J160" s="28"/>
      <c r="K160" s="28"/>
      <c r="L160" s="64"/>
      <c r="M160" s="64"/>
      <c r="N160" s="64"/>
      <c r="O160" s="64"/>
      <c r="P160" s="64"/>
      <c r="Q160" s="64"/>
      <c r="R160" s="64"/>
      <c r="S160" s="64"/>
      <c r="T160" s="64"/>
      <c r="U160" s="64"/>
      <c r="V160" s="23"/>
    </row>
    <row r="161" spans="1:38" s="16" customFormat="1" ht="33.75" customHeight="1" x14ac:dyDescent="0.2">
      <c r="A161" s="14"/>
      <c r="B161" s="10"/>
      <c r="C161" s="532" t="str">
        <f>"Perbandingan realisasi Tahun Anggaran "&amp;'[1]2.ISIAN DATA SKPD'!D11&amp;" dengan realisasi Tahun Anggaran "&amp;'[1]2.ISIAN DATA SKPD'!D12&amp;" sebagaimana pada tabel berikut :"</f>
        <v>Perbandingan realisasi Tahun Anggaran 2018 dengan realisasi Tahun Anggaran 2017 sebagaimana pada tabel berikut :</v>
      </c>
      <c r="D161" s="532"/>
      <c r="E161" s="532"/>
      <c r="F161" s="532"/>
      <c r="G161" s="532"/>
      <c r="H161" s="532"/>
      <c r="I161" s="532"/>
      <c r="J161" s="532"/>
      <c r="K161" s="532"/>
      <c r="L161" s="532"/>
      <c r="M161" s="532"/>
      <c r="N161" s="532"/>
      <c r="O161" s="532"/>
      <c r="P161" s="532"/>
      <c r="Q161" s="532"/>
      <c r="R161" s="532"/>
      <c r="S161" s="532"/>
      <c r="T161" s="532"/>
      <c r="U161" s="532"/>
      <c r="V161" s="23"/>
    </row>
    <row r="162" spans="1:38" s="16" customFormat="1" ht="15" customHeight="1" x14ac:dyDescent="0.2">
      <c r="A162" s="14"/>
      <c r="B162" s="62"/>
      <c r="C162" s="65"/>
      <c r="D162" s="1244"/>
      <c r="E162" s="1244"/>
      <c r="F162" s="1244"/>
      <c r="G162" s="1244"/>
      <c r="H162" s="1244"/>
      <c r="I162" s="1244"/>
      <c r="J162" s="1244"/>
      <c r="K162" s="1244"/>
      <c r="L162" s="1244"/>
      <c r="M162" s="1244"/>
      <c r="N162" s="1244"/>
      <c r="O162" s="1244"/>
      <c r="P162" s="1244"/>
      <c r="Q162" s="1244"/>
      <c r="R162" s="1244"/>
      <c r="S162" s="1244"/>
      <c r="T162" s="1244"/>
      <c r="U162" s="1244"/>
      <c r="V162" s="23"/>
    </row>
    <row r="163" spans="1:38" s="16" customFormat="1" ht="25.5" customHeight="1" x14ac:dyDescent="0.2">
      <c r="A163" s="1271" t="s">
        <v>125</v>
      </c>
      <c r="B163" s="1272"/>
      <c r="C163" s="1272"/>
      <c r="D163" s="1273"/>
      <c r="E163" s="897" t="s">
        <v>157</v>
      </c>
      <c r="F163" s="898"/>
      <c r="G163" s="898"/>
      <c r="H163" s="898"/>
      <c r="I163" s="898"/>
      <c r="J163" s="1274"/>
      <c r="K163" s="1041" t="s">
        <v>158</v>
      </c>
      <c r="L163" s="1042"/>
      <c r="M163" s="1042"/>
      <c r="N163" s="1042"/>
      <c r="O163" s="1043"/>
      <c r="P163" s="428" t="s">
        <v>159</v>
      </c>
      <c r="Q163" s="428"/>
      <c r="R163" s="428"/>
      <c r="S163" s="428"/>
      <c r="T163" s="428" t="s">
        <v>40</v>
      </c>
      <c r="U163" s="428"/>
      <c r="V163" s="23"/>
    </row>
    <row r="164" spans="1:38" s="16" customFormat="1" ht="16.5" customHeight="1" x14ac:dyDescent="0.25">
      <c r="A164" s="41" t="s">
        <v>144</v>
      </c>
      <c r="B164" s="43"/>
      <c r="C164" s="43"/>
      <c r="D164" s="43"/>
      <c r="E164" s="1264"/>
      <c r="F164" s="1265"/>
      <c r="G164" s="1265"/>
      <c r="H164" s="1265"/>
      <c r="I164" s="1265"/>
      <c r="J164" s="1266"/>
      <c r="K164" s="1267"/>
      <c r="L164" s="1268"/>
      <c r="M164" s="1268"/>
      <c r="N164" s="1268"/>
      <c r="O164" s="1269"/>
      <c r="P164" s="1270"/>
      <c r="Q164" s="1270"/>
      <c r="R164" s="1270"/>
      <c r="S164" s="1270"/>
      <c r="T164" s="562"/>
      <c r="U164" s="562"/>
      <c r="V164" s="23"/>
    </row>
    <row r="165" spans="1:38" s="16" customFormat="1" ht="16.5" customHeight="1" x14ac:dyDescent="0.3">
      <c r="A165" s="44" t="s">
        <v>129</v>
      </c>
      <c r="C165" s="45"/>
      <c r="D165" s="45"/>
      <c r="E165" s="1254">
        <f>K143</f>
        <v>12984000</v>
      </c>
      <c r="F165" s="1255"/>
      <c r="G165" s="1255"/>
      <c r="H165" s="1255"/>
      <c r="I165" s="1255"/>
      <c r="J165" s="1256"/>
      <c r="K165" s="1257">
        <f>'[1]3.LRA'!I18</f>
        <v>3742363000</v>
      </c>
      <c r="L165" s="1258"/>
      <c r="M165" s="1258"/>
      <c r="N165" s="1258"/>
      <c r="O165" s="1259"/>
      <c r="P165" s="1260">
        <f>E165-K165</f>
        <v>-3729379000</v>
      </c>
      <c r="Q165" s="1260"/>
      <c r="R165" s="1260"/>
      <c r="S165" s="1260"/>
      <c r="T165" s="1253">
        <v>0</v>
      </c>
      <c r="U165" s="1253"/>
      <c r="V165" s="66"/>
      <c r="W165" s="66"/>
      <c r="X165" s="66"/>
      <c r="Y165" s="66"/>
      <c r="Z165" s="66"/>
    </row>
    <row r="166" spans="1:38" s="16" customFormat="1" ht="16.5" customHeight="1" x14ac:dyDescent="0.3">
      <c r="A166" s="46" t="s">
        <v>134</v>
      </c>
      <c r="B166" s="42"/>
      <c r="C166" s="47"/>
      <c r="D166" s="47"/>
      <c r="E166" s="1254">
        <f>K144</f>
        <v>92329325206</v>
      </c>
      <c r="F166" s="1255"/>
      <c r="G166" s="1255"/>
      <c r="H166" s="1255"/>
      <c r="I166" s="1255"/>
      <c r="J166" s="1256"/>
      <c r="K166" s="1257">
        <f>'[1]3.LRA'!I37</f>
        <v>11259219435</v>
      </c>
      <c r="L166" s="1258"/>
      <c r="M166" s="1258"/>
      <c r="N166" s="1258"/>
      <c r="O166" s="1259"/>
      <c r="P166" s="1260">
        <f>E166-K166</f>
        <v>81070105771</v>
      </c>
      <c r="Q166" s="1260"/>
      <c r="R166" s="1260"/>
      <c r="S166" s="1260"/>
      <c r="T166" s="1253">
        <f t="shared" ref="T166:T172" si="3">(E166-K166)/K166*100</f>
        <v>720.0330914502689</v>
      </c>
      <c r="U166" s="1253"/>
      <c r="V166" s="66"/>
      <c r="W166" s="66"/>
      <c r="X166" s="66"/>
      <c r="Y166" s="66"/>
      <c r="Z166" s="66"/>
    </row>
    <row r="167" spans="1:38" s="16" customFormat="1" ht="16.5" customHeight="1" x14ac:dyDescent="0.15">
      <c r="A167" s="48" t="s">
        <v>145</v>
      </c>
      <c r="B167" s="50"/>
      <c r="C167" s="50"/>
      <c r="D167" s="50"/>
      <c r="E167" s="1249">
        <f>E165-E166</f>
        <v>-92316341206</v>
      </c>
      <c r="F167" s="1250"/>
      <c r="G167" s="1250"/>
      <c r="H167" s="1250"/>
      <c r="I167" s="1250"/>
      <c r="J167" s="1251"/>
      <c r="K167" s="1249">
        <f>K165-K166</f>
        <v>-7516856435</v>
      </c>
      <c r="L167" s="1250"/>
      <c r="M167" s="1250"/>
      <c r="N167" s="1250"/>
      <c r="O167" s="1251"/>
      <c r="P167" s="1252">
        <f>P165-P166</f>
        <v>-84799484771</v>
      </c>
      <c r="Q167" s="1252"/>
      <c r="R167" s="1252"/>
      <c r="S167" s="1252"/>
      <c r="T167" s="1253">
        <f t="shared" si="3"/>
        <v>1128.1243097334745</v>
      </c>
      <c r="U167" s="1253"/>
      <c r="V167" s="23"/>
    </row>
    <row r="168" spans="1:38" s="16" customFormat="1" ht="16.5" customHeight="1" x14ac:dyDescent="0.3">
      <c r="A168" s="51" t="s">
        <v>146</v>
      </c>
      <c r="B168" s="42"/>
      <c r="C168" s="53"/>
      <c r="D168" s="53"/>
      <c r="E168" s="1261"/>
      <c r="F168" s="1262"/>
      <c r="G168" s="1262"/>
      <c r="H168" s="1262"/>
      <c r="I168" s="1262"/>
      <c r="J168" s="1263"/>
      <c r="K168" s="1257"/>
      <c r="L168" s="1258"/>
      <c r="M168" s="1258"/>
      <c r="N168" s="1258"/>
      <c r="O168" s="1259"/>
      <c r="P168" s="1260"/>
      <c r="Q168" s="1260"/>
      <c r="R168" s="1260"/>
      <c r="S168" s="1260"/>
      <c r="T168" s="1253"/>
      <c r="U168" s="1253"/>
      <c r="V168" s="23"/>
    </row>
    <row r="169" spans="1:38" s="16" customFormat="1" ht="16.5" customHeight="1" x14ac:dyDescent="0.3">
      <c r="A169" s="46" t="s">
        <v>147</v>
      </c>
      <c r="B169" s="42"/>
      <c r="C169" s="53"/>
      <c r="D169" s="53"/>
      <c r="E169" s="1254">
        <f>K147</f>
        <v>0</v>
      </c>
      <c r="F169" s="1255"/>
      <c r="G169" s="1255"/>
      <c r="H169" s="1255"/>
      <c r="I169" s="1255"/>
      <c r="J169" s="1256"/>
      <c r="K169" s="1257">
        <f>'[1]3.LRA'!I107</f>
        <v>0</v>
      </c>
      <c r="L169" s="1258"/>
      <c r="M169" s="1258"/>
      <c r="N169" s="1258"/>
      <c r="O169" s="1259"/>
      <c r="P169" s="1260">
        <f>E169-K169</f>
        <v>0</v>
      </c>
      <c r="Q169" s="1260"/>
      <c r="R169" s="1260"/>
      <c r="S169" s="1260"/>
      <c r="T169" s="1253">
        <v>0</v>
      </c>
      <c r="U169" s="1253"/>
      <c r="V169" s="23"/>
    </row>
    <row r="170" spans="1:38" s="16" customFormat="1" ht="16.5" customHeight="1" x14ac:dyDescent="0.3">
      <c r="A170" s="46" t="s">
        <v>148</v>
      </c>
      <c r="B170" s="42"/>
      <c r="C170" s="53"/>
      <c r="D170" s="53"/>
      <c r="E170" s="1254">
        <f>K148</f>
        <v>0</v>
      </c>
      <c r="F170" s="1255"/>
      <c r="G170" s="1255"/>
      <c r="H170" s="1255"/>
      <c r="I170" s="1255"/>
      <c r="J170" s="1256"/>
      <c r="K170" s="1257">
        <f>'[1]3.LRA'!I113</f>
        <v>0</v>
      </c>
      <c r="L170" s="1258"/>
      <c r="M170" s="1258"/>
      <c r="N170" s="1258"/>
      <c r="O170" s="1259"/>
      <c r="P170" s="1260">
        <f>E170-K170</f>
        <v>0</v>
      </c>
      <c r="Q170" s="1260"/>
      <c r="R170" s="1260"/>
      <c r="S170" s="1260"/>
      <c r="T170" s="1253">
        <v>0</v>
      </c>
      <c r="U170" s="1253"/>
      <c r="V170" s="23"/>
    </row>
    <row r="171" spans="1:38" s="16" customFormat="1" ht="16.5" customHeight="1" x14ac:dyDescent="0.15">
      <c r="A171" s="48" t="s">
        <v>149</v>
      </c>
      <c r="B171" s="50"/>
      <c r="C171" s="50"/>
      <c r="D171" s="50"/>
      <c r="E171" s="1249">
        <f>E169-E170</f>
        <v>0</v>
      </c>
      <c r="F171" s="1250"/>
      <c r="G171" s="1250"/>
      <c r="H171" s="1250"/>
      <c r="I171" s="1250"/>
      <c r="J171" s="1251"/>
      <c r="K171" s="1249">
        <f>K169-K170</f>
        <v>0</v>
      </c>
      <c r="L171" s="1250"/>
      <c r="M171" s="1250"/>
      <c r="N171" s="1250"/>
      <c r="O171" s="1251"/>
      <c r="P171" s="1260">
        <f>P169-P170</f>
        <v>0</v>
      </c>
      <c r="Q171" s="1260"/>
      <c r="R171" s="1260"/>
      <c r="S171" s="1260"/>
      <c r="T171" s="1253">
        <v>0</v>
      </c>
      <c r="U171" s="1253"/>
      <c r="V171" s="23"/>
    </row>
    <row r="172" spans="1:38" s="16" customFormat="1" ht="16.5" customHeight="1" x14ac:dyDescent="0.15">
      <c r="A172" s="48" t="s">
        <v>150</v>
      </c>
      <c r="B172" s="50"/>
      <c r="C172" s="50"/>
      <c r="D172" s="50"/>
      <c r="E172" s="1249">
        <f>E167+E171</f>
        <v>-92316341206</v>
      </c>
      <c r="F172" s="1250"/>
      <c r="G172" s="1250"/>
      <c r="H172" s="1250"/>
      <c r="I172" s="1250"/>
      <c r="J172" s="1251"/>
      <c r="K172" s="1249">
        <f>K167+K171</f>
        <v>-7516856435</v>
      </c>
      <c r="L172" s="1250"/>
      <c r="M172" s="1250"/>
      <c r="N172" s="1250"/>
      <c r="O172" s="1251"/>
      <c r="P172" s="1252">
        <f>P167+Q171</f>
        <v>-84799484771</v>
      </c>
      <c r="Q172" s="1252"/>
      <c r="R172" s="1252"/>
      <c r="S172" s="1252"/>
      <c r="T172" s="1253">
        <f t="shared" si="3"/>
        <v>1128.1243097334745</v>
      </c>
      <c r="U172" s="1253"/>
      <c r="V172" s="23"/>
    </row>
    <row r="173" spans="1:38" s="16" customFormat="1" ht="21" customHeight="1" x14ac:dyDescent="0.2">
      <c r="A173" s="14"/>
      <c r="B173" s="62"/>
      <c r="C173" s="62"/>
      <c r="D173" s="62"/>
      <c r="E173" s="62"/>
      <c r="F173" s="62"/>
      <c r="G173" s="62"/>
      <c r="H173" s="62"/>
      <c r="I173" s="62"/>
      <c r="J173" s="62"/>
      <c r="K173" s="62"/>
      <c r="L173" s="63"/>
      <c r="M173" s="63"/>
      <c r="N173" s="63"/>
      <c r="O173" s="63"/>
      <c r="P173" s="63"/>
      <c r="Q173" s="63"/>
      <c r="R173" s="63"/>
      <c r="S173" s="63"/>
      <c r="T173" s="63"/>
      <c r="U173" s="63"/>
      <c r="V173" s="23"/>
    </row>
    <row r="174" spans="1:38" s="16" customFormat="1" ht="47.25" customHeight="1" x14ac:dyDescent="0.2">
      <c r="A174" s="14"/>
      <c r="B174" s="62"/>
      <c r="C174" s="62" t="s">
        <v>160</v>
      </c>
      <c r="D174" s="400" t="str">
        <f>"Realisasi Pendapatan Tahun Anggaran "&amp;'[1]2.ISIAN DATA SKPD'!D11&amp;" tidak  mengalami peningkatan sebesar "&amp;FIXED(T165)&amp;"% dari Realisasi Pendapatan Tahun Anggaran "&amp;'[1]2.ISIAN DATA SKPD'!D12&amp;"."</f>
        <v>Realisasi Pendapatan Tahun Anggaran 2018 tidak  mengalami peningkatan sebesar 0,00% dari Realisasi Pendapatan Tahun Anggaran 2017.</v>
      </c>
      <c r="E174" s="400"/>
      <c r="F174" s="400"/>
      <c r="G174" s="400"/>
      <c r="H174" s="400"/>
      <c r="I174" s="400"/>
      <c r="J174" s="400"/>
      <c r="K174" s="400"/>
      <c r="L174" s="400"/>
      <c r="M174" s="400"/>
      <c r="N174" s="400"/>
      <c r="O174" s="400"/>
      <c r="P174" s="400"/>
      <c r="Q174" s="400"/>
      <c r="R174" s="400"/>
      <c r="S174" s="400"/>
      <c r="T174" s="400"/>
      <c r="U174" s="400"/>
      <c r="V174" s="1248"/>
      <c r="W174" s="1248"/>
      <c r="X174" s="1248"/>
      <c r="Y174" s="1248"/>
      <c r="Z174" s="1248"/>
      <c r="AA174" s="1248"/>
      <c r="AB174" s="1248"/>
      <c r="AC174" s="1248"/>
      <c r="AD174" s="1248"/>
      <c r="AE174" s="1248"/>
      <c r="AF174" s="1248"/>
      <c r="AG174" s="1248"/>
      <c r="AH174" s="1248"/>
      <c r="AI174" s="1248"/>
      <c r="AJ174" s="1248"/>
      <c r="AK174" s="1248"/>
      <c r="AL174" s="1248"/>
    </row>
    <row r="175" spans="1:38" s="16" customFormat="1" ht="47.25" customHeight="1" x14ac:dyDescent="0.2">
      <c r="A175" s="14"/>
      <c r="B175" s="62"/>
      <c r="C175" s="62" t="s">
        <v>153</v>
      </c>
      <c r="D175" s="400" t="str">
        <f>"Realisasi Belanja Tahun Anggaran "&amp;'[1]2.ISIAN DATA SKPD'!D11&amp;" mengalami peningkatan sebesar "&amp;FIXED(T166)&amp;"% dari Realisasi Belanja Tahun Anggaran "&amp;'[1]2.ISIAN DATA SKPD'!D12&amp;"."</f>
        <v>Realisasi Belanja Tahun Anggaran 2018 mengalami peningkatan sebesar 720,03% dari Realisasi Belanja Tahun Anggaran 2017.</v>
      </c>
      <c r="E175" s="400"/>
      <c r="F175" s="400"/>
      <c r="G175" s="400"/>
      <c r="H175" s="400"/>
      <c r="I175" s="400"/>
      <c r="J175" s="400"/>
      <c r="K175" s="400"/>
      <c r="L175" s="400"/>
      <c r="M175" s="400"/>
      <c r="N175" s="400"/>
      <c r="O175" s="400"/>
      <c r="P175" s="400"/>
      <c r="Q175" s="400"/>
      <c r="R175" s="400"/>
      <c r="S175" s="400"/>
      <c r="T175" s="400"/>
      <c r="U175" s="400"/>
      <c r="V175" s="1248"/>
      <c r="W175" s="1248"/>
      <c r="X175" s="1248"/>
      <c r="Y175" s="1248"/>
      <c r="Z175" s="1248"/>
      <c r="AA175" s="1248"/>
      <c r="AB175" s="1248"/>
      <c r="AC175" s="1248"/>
      <c r="AD175" s="1248"/>
      <c r="AE175" s="1248"/>
      <c r="AF175" s="1248"/>
      <c r="AG175" s="1248"/>
      <c r="AH175" s="1248"/>
      <c r="AI175" s="1248"/>
      <c r="AJ175" s="1248"/>
      <c r="AK175" s="1248"/>
      <c r="AL175" s="1248"/>
    </row>
    <row r="176" spans="1:38" s="16" customFormat="1" ht="46.5" customHeight="1" x14ac:dyDescent="0.2">
      <c r="A176" s="14"/>
      <c r="B176" s="62"/>
      <c r="C176" s="62">
        <v>3</v>
      </c>
      <c r="D176" s="400" t="str">
        <f>"Pembiayaan Netto Tahun Anggaran "&amp;'[1]2.ISIAN DATA SKPD'!D11&amp;" tidak mengalami peningkatan/penurunan sebesar "&amp;FIXED(T171)&amp;"% dari Pembiayaan Netto Tahun Anggaran "&amp;"."</f>
        <v>Pembiayaan Netto Tahun Anggaran 2018 tidak mengalami peningkatan/penurunan sebesar 0,00% dari Pembiayaan Netto Tahun Anggaran .</v>
      </c>
      <c r="E176" s="400"/>
      <c r="F176" s="400"/>
      <c r="G176" s="400"/>
      <c r="H176" s="400"/>
      <c r="I176" s="400"/>
      <c r="J176" s="400"/>
      <c r="K176" s="400"/>
      <c r="L176" s="400"/>
      <c r="M176" s="400"/>
      <c r="N176" s="400"/>
      <c r="O176" s="400"/>
      <c r="P176" s="400"/>
      <c r="Q176" s="400"/>
      <c r="R176" s="400"/>
      <c r="S176" s="400"/>
      <c r="T176" s="400"/>
      <c r="U176" s="400"/>
      <c r="V176" s="1248"/>
      <c r="W176" s="1248"/>
      <c r="X176" s="1248"/>
      <c r="Y176" s="1248"/>
      <c r="Z176" s="1248"/>
      <c r="AA176" s="1248"/>
      <c r="AB176" s="1248"/>
      <c r="AC176" s="1248"/>
      <c r="AD176" s="1248"/>
      <c r="AE176" s="1248"/>
      <c r="AF176" s="1248"/>
      <c r="AG176" s="1248"/>
      <c r="AH176" s="1248"/>
      <c r="AI176" s="1248"/>
      <c r="AJ176" s="1248"/>
      <c r="AK176" s="1248"/>
      <c r="AL176" s="1248"/>
    </row>
    <row r="177" spans="1:22" s="16" customFormat="1" ht="31.5" customHeight="1" x14ac:dyDescent="0.2">
      <c r="A177" s="14"/>
      <c r="B177" s="62"/>
      <c r="C177" s="62" t="s">
        <v>155</v>
      </c>
      <c r="D177" s="400" t="str">
        <f>"SILPA Tahun Anggaran "&amp;'[1]2.ISIAN DATA SKPD'!D11&amp;" mengalami peningkatan sebesar "&amp;FIXED(T172)&amp;"% dibandingkan SILPA Tahun Anggaran "&amp;'[1]2.ISIAN DATA SKPD'!D12&amp;"."</f>
        <v>SILPA Tahun Anggaran 2018 mengalami peningkatan sebesar 1.128,12% dibandingkan SILPA Tahun Anggaran 2017.</v>
      </c>
      <c r="E177" s="400"/>
      <c r="F177" s="400"/>
      <c r="G177" s="400"/>
      <c r="H177" s="400"/>
      <c r="I177" s="400"/>
      <c r="J177" s="400"/>
      <c r="K177" s="400"/>
      <c r="L177" s="400"/>
      <c r="M177" s="400"/>
      <c r="N177" s="400"/>
      <c r="O177" s="400"/>
      <c r="P177" s="400"/>
      <c r="Q177" s="400"/>
      <c r="R177" s="400"/>
      <c r="S177" s="400"/>
      <c r="T177" s="400"/>
      <c r="U177" s="400"/>
      <c r="V177" s="23"/>
    </row>
    <row r="178" spans="1:22" s="16" customFormat="1" ht="16.5" customHeight="1" x14ac:dyDescent="0.2">
      <c r="A178" s="14"/>
      <c r="B178" s="62"/>
      <c r="C178" s="62"/>
      <c r="D178" s="62"/>
      <c r="E178" s="62"/>
      <c r="F178" s="62"/>
      <c r="G178" s="62"/>
      <c r="H178" s="62"/>
      <c r="I178" s="62"/>
      <c r="J178" s="62"/>
      <c r="K178" s="62"/>
      <c r="L178" s="63"/>
      <c r="M178" s="63"/>
      <c r="N178" s="63"/>
      <c r="O178" s="63"/>
      <c r="P178" s="63"/>
      <c r="Q178" s="63"/>
      <c r="R178" s="63"/>
      <c r="S178" s="63"/>
      <c r="T178" s="63"/>
      <c r="U178" s="63"/>
      <c r="V178" s="23"/>
    </row>
    <row r="179" spans="1:22" s="16" customFormat="1" ht="16.5" customHeight="1" x14ac:dyDescent="0.2">
      <c r="A179" s="14"/>
      <c r="B179" s="7" t="s">
        <v>161</v>
      </c>
      <c r="C179" s="28"/>
      <c r="D179" s="28"/>
      <c r="E179" s="28"/>
      <c r="F179" s="28"/>
      <c r="G179" s="28"/>
      <c r="H179" s="28"/>
      <c r="I179" s="28"/>
      <c r="J179" s="28"/>
      <c r="K179" s="28"/>
      <c r="L179" s="64"/>
      <c r="M179" s="64"/>
      <c r="N179" s="64"/>
      <c r="O179" s="64"/>
      <c r="P179" s="64"/>
      <c r="Q179" s="64"/>
      <c r="R179" s="64"/>
      <c r="S179" s="64"/>
      <c r="T179" s="64"/>
      <c r="U179" s="64"/>
      <c r="V179" s="23"/>
    </row>
    <row r="180" spans="1:22" s="16" customFormat="1" ht="16.5" customHeight="1" x14ac:dyDescent="0.2">
      <c r="A180" s="14"/>
      <c r="B180" s="62"/>
      <c r="C180" s="28" t="s">
        <v>160</v>
      </c>
      <c r="D180" s="1247" t="s">
        <v>162</v>
      </c>
      <c r="E180" s="1247"/>
      <c r="F180" s="1247"/>
      <c r="G180" s="1247"/>
      <c r="H180" s="1247"/>
      <c r="I180" s="1247"/>
      <c r="J180" s="1247"/>
      <c r="K180" s="1247"/>
      <c r="L180" s="1247"/>
      <c r="M180" s="1247"/>
      <c r="N180" s="1247"/>
      <c r="O180" s="1247"/>
      <c r="P180" s="1247"/>
      <c r="Q180" s="1247"/>
      <c r="R180" s="1247"/>
      <c r="S180" s="1247"/>
      <c r="T180" s="1247"/>
      <c r="U180" s="1247"/>
      <c r="V180" s="23"/>
    </row>
    <row r="181" spans="1:22" s="16" customFormat="1" ht="34.5" customHeight="1" x14ac:dyDescent="0.2">
      <c r="A181" s="14"/>
      <c r="B181" s="62"/>
      <c r="C181" s="28"/>
      <c r="D181" s="402" t="s">
        <v>163</v>
      </c>
      <c r="E181" s="402"/>
      <c r="F181" s="402"/>
      <c r="G181" s="402"/>
      <c r="H181" s="402"/>
      <c r="I181" s="402"/>
      <c r="J181" s="402"/>
      <c r="K181" s="402"/>
      <c r="L181" s="402"/>
      <c r="M181" s="402"/>
      <c r="N181" s="402"/>
      <c r="O181" s="402"/>
      <c r="P181" s="402"/>
      <c r="Q181" s="402"/>
      <c r="R181" s="402"/>
      <c r="S181" s="402"/>
      <c r="T181" s="402"/>
      <c r="U181" s="402"/>
      <c r="V181" s="23"/>
    </row>
    <row r="182" spans="1:22" s="16" customFormat="1" ht="30.75" customHeight="1" x14ac:dyDescent="0.2">
      <c r="A182" s="14"/>
      <c r="B182" s="62"/>
      <c r="C182" s="28"/>
      <c r="D182" s="402" t="s">
        <v>164</v>
      </c>
      <c r="E182" s="402"/>
      <c r="F182" s="402"/>
      <c r="G182" s="402"/>
      <c r="H182" s="402"/>
      <c r="I182" s="402"/>
      <c r="J182" s="402"/>
      <c r="K182" s="402"/>
      <c r="L182" s="402"/>
      <c r="M182" s="402"/>
      <c r="N182" s="402"/>
      <c r="O182" s="402"/>
      <c r="P182" s="402"/>
      <c r="Q182" s="402"/>
      <c r="R182" s="402"/>
      <c r="S182" s="402"/>
      <c r="T182" s="402"/>
      <c r="U182" s="402"/>
      <c r="V182" s="23"/>
    </row>
    <row r="183" spans="1:22" s="16" customFormat="1" ht="30.75" customHeight="1" x14ac:dyDescent="0.2">
      <c r="A183" s="14"/>
      <c r="B183" s="62"/>
      <c r="C183" s="28"/>
      <c r="D183" s="402" t="s">
        <v>165</v>
      </c>
      <c r="E183" s="402"/>
      <c r="F183" s="402"/>
      <c r="G183" s="402"/>
      <c r="H183" s="402"/>
      <c r="I183" s="402"/>
      <c r="J183" s="402"/>
      <c r="K183" s="402"/>
      <c r="L183" s="402"/>
      <c r="M183" s="402"/>
      <c r="N183" s="402"/>
      <c r="O183" s="402"/>
      <c r="P183" s="402"/>
      <c r="Q183" s="402"/>
      <c r="R183" s="402"/>
      <c r="S183" s="402"/>
      <c r="T183" s="402"/>
      <c r="U183" s="402"/>
      <c r="V183" s="23"/>
    </row>
    <row r="184" spans="1:22" s="16" customFormat="1" ht="30.75" customHeight="1" x14ac:dyDescent="0.2">
      <c r="A184" s="14"/>
      <c r="B184" s="62"/>
      <c r="C184" s="28"/>
      <c r="D184" s="402" t="s">
        <v>166</v>
      </c>
      <c r="E184" s="402"/>
      <c r="F184" s="402"/>
      <c r="G184" s="402"/>
      <c r="H184" s="402"/>
      <c r="I184" s="402"/>
      <c r="J184" s="402"/>
      <c r="K184" s="402"/>
      <c r="L184" s="402"/>
      <c r="M184" s="402"/>
      <c r="N184" s="402"/>
      <c r="O184" s="402"/>
      <c r="P184" s="402"/>
      <c r="Q184" s="402"/>
      <c r="R184" s="402"/>
      <c r="S184" s="402"/>
      <c r="T184" s="402"/>
      <c r="U184" s="402"/>
      <c r="V184" s="23"/>
    </row>
    <row r="185" spans="1:22" s="16" customFormat="1" ht="30.75" customHeight="1" x14ac:dyDescent="0.2">
      <c r="A185" s="14"/>
      <c r="B185" s="62"/>
      <c r="C185" s="28"/>
      <c r="D185" s="402" t="s">
        <v>167</v>
      </c>
      <c r="E185" s="402"/>
      <c r="F185" s="402"/>
      <c r="G185" s="402"/>
      <c r="H185" s="402"/>
      <c r="I185" s="402"/>
      <c r="J185" s="402"/>
      <c r="K185" s="402"/>
      <c r="L185" s="402"/>
      <c r="M185" s="402"/>
      <c r="N185" s="402"/>
      <c r="O185" s="402"/>
      <c r="P185" s="402"/>
      <c r="Q185" s="402"/>
      <c r="R185" s="402"/>
      <c r="S185" s="402"/>
      <c r="T185" s="402"/>
      <c r="U185" s="402"/>
      <c r="V185" s="23"/>
    </row>
    <row r="186" spans="1:22" s="16" customFormat="1" ht="30.75" customHeight="1" x14ac:dyDescent="0.2">
      <c r="A186" s="14"/>
      <c r="B186" s="62"/>
      <c r="C186" s="28"/>
      <c r="D186" s="67" t="s">
        <v>47</v>
      </c>
      <c r="E186" s="402" t="s">
        <v>168</v>
      </c>
      <c r="F186" s="402"/>
      <c r="G186" s="402"/>
      <c r="H186" s="402"/>
      <c r="I186" s="402"/>
      <c r="J186" s="402"/>
      <c r="K186" s="402"/>
      <c r="L186" s="402"/>
      <c r="M186" s="402"/>
      <c r="N186" s="402"/>
      <c r="O186" s="402"/>
      <c r="P186" s="402"/>
      <c r="Q186" s="402"/>
      <c r="R186" s="402"/>
      <c r="S186" s="402"/>
      <c r="T186" s="402"/>
      <c r="U186" s="402"/>
      <c r="V186" s="23"/>
    </row>
    <row r="187" spans="1:22" s="16" customFormat="1" ht="30.75" customHeight="1" x14ac:dyDescent="0.2">
      <c r="A187" s="14"/>
      <c r="B187" s="62"/>
      <c r="C187" s="28"/>
      <c r="D187" s="67" t="s">
        <v>49</v>
      </c>
      <c r="E187" s="402" t="s">
        <v>169</v>
      </c>
      <c r="F187" s="402"/>
      <c r="G187" s="402"/>
      <c r="H187" s="402"/>
      <c r="I187" s="402"/>
      <c r="J187" s="402"/>
      <c r="K187" s="402"/>
      <c r="L187" s="402"/>
      <c r="M187" s="402"/>
      <c r="N187" s="402"/>
      <c r="O187" s="402"/>
      <c r="P187" s="402"/>
      <c r="Q187" s="402"/>
      <c r="R187" s="402"/>
      <c r="S187" s="402"/>
      <c r="T187" s="402"/>
      <c r="U187" s="402"/>
      <c r="V187" s="23"/>
    </row>
    <row r="188" spans="1:22" s="16" customFormat="1" ht="31.5" customHeight="1" x14ac:dyDescent="0.2">
      <c r="A188" s="14"/>
      <c r="B188" s="62"/>
      <c r="C188" s="28"/>
      <c r="D188" s="67" t="s">
        <v>170</v>
      </c>
      <c r="E188" s="402" t="s">
        <v>171</v>
      </c>
      <c r="F188" s="402"/>
      <c r="G188" s="402"/>
      <c r="H188" s="402"/>
      <c r="I188" s="402"/>
      <c r="J188" s="402"/>
      <c r="K188" s="402"/>
      <c r="L188" s="402"/>
      <c r="M188" s="402"/>
      <c r="N188" s="402"/>
      <c r="O188" s="402"/>
      <c r="P188" s="402"/>
      <c r="Q188" s="402"/>
      <c r="R188" s="402"/>
      <c r="S188" s="402"/>
      <c r="T188" s="402"/>
      <c r="U188" s="402"/>
      <c r="V188" s="23"/>
    </row>
    <row r="189" spans="1:22" s="16" customFormat="1" ht="15.75" customHeight="1" x14ac:dyDescent="0.2">
      <c r="A189" s="14"/>
      <c r="B189" s="62"/>
      <c r="C189" s="28"/>
      <c r="D189" s="67"/>
      <c r="E189" s="68" t="s">
        <v>41</v>
      </c>
      <c r="F189" s="402" t="s">
        <v>172</v>
      </c>
      <c r="G189" s="402"/>
      <c r="H189" s="402"/>
      <c r="I189" s="402"/>
      <c r="J189" s="402"/>
      <c r="K189" s="402"/>
      <c r="L189" s="402"/>
      <c r="M189" s="402"/>
      <c r="N189" s="402"/>
      <c r="O189" s="402"/>
      <c r="P189" s="402"/>
      <c r="Q189" s="402"/>
      <c r="R189" s="402"/>
      <c r="S189" s="402"/>
      <c r="T189" s="402"/>
      <c r="U189" s="402"/>
      <c r="V189" s="23"/>
    </row>
    <row r="190" spans="1:22" s="16" customFormat="1" ht="16.5" customHeight="1" x14ac:dyDescent="0.2">
      <c r="A190" s="14"/>
      <c r="B190" s="62"/>
      <c r="C190" s="28"/>
      <c r="D190" s="67"/>
      <c r="E190" s="68" t="s">
        <v>41</v>
      </c>
      <c r="F190" s="402" t="s">
        <v>173</v>
      </c>
      <c r="G190" s="402"/>
      <c r="H190" s="402"/>
      <c r="I190" s="402"/>
      <c r="J190" s="402"/>
      <c r="K190" s="402"/>
      <c r="L190" s="402"/>
      <c r="M190" s="402"/>
      <c r="N190" s="402"/>
      <c r="O190" s="402"/>
      <c r="P190" s="402"/>
      <c r="Q190" s="402"/>
      <c r="R190" s="402"/>
      <c r="S190" s="402"/>
      <c r="T190" s="402"/>
      <c r="U190" s="402"/>
      <c r="V190" s="23"/>
    </row>
    <row r="191" spans="1:22" s="16" customFormat="1" ht="15.75" customHeight="1" x14ac:dyDescent="0.2">
      <c r="A191" s="14"/>
      <c r="B191" s="62"/>
      <c r="C191" s="28"/>
      <c r="D191" s="67"/>
      <c r="E191" s="68" t="s">
        <v>41</v>
      </c>
      <c r="F191" s="402" t="s">
        <v>174</v>
      </c>
      <c r="G191" s="402"/>
      <c r="H191" s="402"/>
      <c r="I191" s="402"/>
      <c r="J191" s="402"/>
      <c r="K191" s="402"/>
      <c r="L191" s="402"/>
      <c r="M191" s="402"/>
      <c r="N191" s="402"/>
      <c r="O191" s="402"/>
      <c r="P191" s="402"/>
      <c r="Q191" s="402"/>
      <c r="R191" s="402"/>
      <c r="S191" s="402"/>
      <c r="T191" s="402"/>
      <c r="U191" s="402"/>
      <c r="V191" s="23"/>
    </row>
    <row r="192" spans="1:22" s="16" customFormat="1" ht="33" customHeight="1" x14ac:dyDescent="0.2">
      <c r="A192" s="14"/>
      <c r="B192" s="62"/>
      <c r="C192" s="28"/>
      <c r="D192" s="67" t="s">
        <v>175</v>
      </c>
      <c r="E192" s="402" t="s">
        <v>176</v>
      </c>
      <c r="F192" s="402"/>
      <c r="G192" s="402"/>
      <c r="H192" s="402"/>
      <c r="I192" s="402"/>
      <c r="J192" s="402"/>
      <c r="K192" s="402"/>
      <c r="L192" s="402"/>
      <c r="M192" s="402"/>
      <c r="N192" s="402"/>
      <c r="O192" s="402"/>
      <c r="P192" s="402"/>
      <c r="Q192" s="402"/>
      <c r="R192" s="402"/>
      <c r="S192" s="402"/>
      <c r="T192" s="402"/>
      <c r="U192" s="402"/>
      <c r="V192" s="23"/>
    </row>
    <row r="193" spans="1:22" s="16" customFormat="1" ht="16.5" customHeight="1" x14ac:dyDescent="0.2">
      <c r="A193" s="14"/>
      <c r="B193" s="62"/>
      <c r="C193" s="28" t="s">
        <v>153</v>
      </c>
      <c r="D193" s="1247" t="s">
        <v>177</v>
      </c>
      <c r="E193" s="1247"/>
      <c r="F193" s="1247"/>
      <c r="G193" s="1247"/>
      <c r="H193" s="1247"/>
      <c r="I193" s="1247"/>
      <c r="J193" s="1247"/>
      <c r="K193" s="1247"/>
      <c r="L193" s="1247"/>
      <c r="M193" s="1247"/>
      <c r="N193" s="1247"/>
      <c r="O193" s="1247"/>
      <c r="P193" s="1247"/>
      <c r="Q193" s="1247"/>
      <c r="R193" s="1247"/>
      <c r="S193" s="1247"/>
      <c r="T193" s="1247"/>
      <c r="U193" s="1247"/>
      <c r="V193" s="23"/>
    </row>
    <row r="194" spans="1:22" s="16" customFormat="1" ht="16.5" customHeight="1" x14ac:dyDescent="0.2">
      <c r="A194" s="14"/>
      <c r="B194" s="62"/>
      <c r="C194" s="28"/>
      <c r="D194" s="69" t="s">
        <v>178</v>
      </c>
      <c r="E194" s="69"/>
      <c r="F194" s="69"/>
      <c r="G194" s="69"/>
      <c r="H194" s="69"/>
      <c r="I194" s="69"/>
      <c r="J194" s="69"/>
      <c r="K194" s="69"/>
      <c r="L194" s="69"/>
      <c r="M194" s="69"/>
      <c r="N194" s="69"/>
      <c r="O194" s="69"/>
      <c r="P194" s="69"/>
      <c r="Q194" s="69"/>
      <c r="R194" s="69"/>
      <c r="S194" s="69"/>
      <c r="T194" s="69"/>
      <c r="U194" s="69"/>
      <c r="V194" s="23"/>
    </row>
    <row r="195" spans="1:22" s="16" customFormat="1" ht="47.25" customHeight="1" x14ac:dyDescent="0.2">
      <c r="A195" s="14"/>
      <c r="B195" s="62"/>
      <c r="C195" s="28"/>
      <c r="D195" s="69"/>
      <c r="E195" s="69" t="s">
        <v>47</v>
      </c>
      <c r="F195" s="402" t="s">
        <v>179</v>
      </c>
      <c r="G195" s="402"/>
      <c r="H195" s="402"/>
      <c r="I195" s="402"/>
      <c r="J195" s="402"/>
      <c r="K195" s="402"/>
      <c r="L195" s="402"/>
      <c r="M195" s="402"/>
      <c r="N195" s="402"/>
      <c r="O195" s="402"/>
      <c r="P195" s="402"/>
      <c r="Q195" s="402"/>
      <c r="R195" s="402"/>
      <c r="S195" s="402"/>
      <c r="T195" s="402"/>
      <c r="U195" s="402"/>
      <c r="V195" s="23"/>
    </row>
    <row r="196" spans="1:22" s="16" customFormat="1" ht="31.5" customHeight="1" x14ac:dyDescent="0.2">
      <c r="A196" s="14"/>
      <c r="B196" s="62"/>
      <c r="C196" s="28"/>
      <c r="D196" s="69"/>
      <c r="E196" s="69" t="s">
        <v>49</v>
      </c>
      <c r="F196" s="402" t="s">
        <v>180</v>
      </c>
      <c r="G196" s="402"/>
      <c r="H196" s="402"/>
      <c r="I196" s="402"/>
      <c r="J196" s="402"/>
      <c r="K196" s="402"/>
      <c r="L196" s="402"/>
      <c r="M196" s="402"/>
      <c r="N196" s="402"/>
      <c r="O196" s="402"/>
      <c r="P196" s="402"/>
      <c r="Q196" s="402"/>
      <c r="R196" s="402"/>
      <c r="S196" s="402"/>
      <c r="T196" s="402"/>
      <c r="U196" s="402"/>
      <c r="V196" s="23"/>
    </row>
    <row r="197" spans="1:22" s="16" customFormat="1" ht="31.5" customHeight="1" x14ac:dyDescent="0.2">
      <c r="A197" s="14"/>
      <c r="B197" s="62"/>
      <c r="C197" s="28"/>
      <c r="D197" s="69"/>
      <c r="E197" s="69" t="s">
        <v>170</v>
      </c>
      <c r="F197" s="402" t="s">
        <v>181</v>
      </c>
      <c r="G197" s="402"/>
      <c r="H197" s="402"/>
      <c r="I197" s="402"/>
      <c r="J197" s="402"/>
      <c r="K197" s="402"/>
      <c r="L197" s="402"/>
      <c r="M197" s="402"/>
      <c r="N197" s="402"/>
      <c r="O197" s="402"/>
      <c r="P197" s="402"/>
      <c r="Q197" s="402"/>
      <c r="R197" s="402"/>
      <c r="S197" s="402"/>
      <c r="T197" s="402"/>
      <c r="U197" s="402"/>
      <c r="V197" s="23"/>
    </row>
    <row r="198" spans="1:22" s="16" customFormat="1" ht="93" customHeight="1" x14ac:dyDescent="0.2">
      <c r="A198" s="14"/>
      <c r="B198" s="62"/>
      <c r="C198" s="28"/>
      <c r="D198" s="69"/>
      <c r="E198" s="69" t="s">
        <v>175</v>
      </c>
      <c r="F198" s="402" t="s">
        <v>182</v>
      </c>
      <c r="G198" s="402"/>
      <c r="H198" s="402"/>
      <c r="I198" s="402"/>
      <c r="J198" s="402"/>
      <c r="K198" s="402"/>
      <c r="L198" s="402"/>
      <c r="M198" s="402"/>
      <c r="N198" s="402"/>
      <c r="O198" s="402"/>
      <c r="P198" s="402"/>
      <c r="Q198" s="402"/>
      <c r="R198" s="402"/>
      <c r="S198" s="402"/>
      <c r="T198" s="402"/>
      <c r="U198" s="402"/>
      <c r="V198" s="23"/>
    </row>
    <row r="199" spans="1:22" s="16" customFormat="1" ht="21.75" customHeight="1" x14ac:dyDescent="0.2">
      <c r="A199" s="14"/>
      <c r="B199" s="62"/>
      <c r="C199" s="28"/>
      <c r="D199" s="69"/>
      <c r="E199" s="69" t="s">
        <v>183</v>
      </c>
      <c r="F199" s="402" t="s">
        <v>184</v>
      </c>
      <c r="G199" s="402"/>
      <c r="H199" s="402"/>
      <c r="I199" s="402"/>
      <c r="J199" s="402"/>
      <c r="K199" s="402"/>
      <c r="L199" s="402"/>
      <c r="M199" s="402"/>
      <c r="N199" s="402"/>
      <c r="O199" s="402"/>
      <c r="P199" s="402"/>
      <c r="Q199" s="402"/>
      <c r="R199" s="402"/>
      <c r="S199" s="402"/>
      <c r="T199" s="402"/>
      <c r="U199" s="402"/>
      <c r="V199" s="23"/>
    </row>
    <row r="200" spans="1:22" s="16" customFormat="1" ht="16.5" customHeight="1" x14ac:dyDescent="0.2">
      <c r="A200" s="14"/>
      <c r="B200" s="62"/>
      <c r="C200" s="65"/>
      <c r="D200" s="1244"/>
      <c r="E200" s="1244"/>
      <c r="F200" s="1244"/>
      <c r="G200" s="1244"/>
      <c r="H200" s="1244"/>
      <c r="I200" s="1244"/>
      <c r="J200" s="1244"/>
      <c r="K200" s="1244"/>
      <c r="L200" s="1244"/>
      <c r="M200" s="1244"/>
      <c r="N200" s="1244"/>
      <c r="O200" s="1244"/>
      <c r="P200" s="1244"/>
      <c r="Q200" s="1244"/>
      <c r="R200" s="1244"/>
      <c r="S200" s="1244"/>
      <c r="T200" s="1244"/>
      <c r="U200" s="1244"/>
      <c r="V200" s="23"/>
    </row>
    <row r="201" spans="1:22" s="16" customFormat="1" ht="16.5" customHeight="1" x14ac:dyDescent="0.2">
      <c r="A201" s="14"/>
      <c r="B201" s="62"/>
      <c r="C201" s="65"/>
      <c r="D201" s="1244"/>
      <c r="E201" s="1244"/>
      <c r="F201" s="1244"/>
      <c r="G201" s="1244"/>
      <c r="H201" s="1244"/>
      <c r="I201" s="1244"/>
      <c r="J201" s="1244"/>
      <c r="K201" s="1244"/>
      <c r="L201" s="1244"/>
      <c r="M201" s="1244"/>
      <c r="N201" s="1244"/>
      <c r="O201" s="1244"/>
      <c r="P201" s="1244"/>
      <c r="Q201" s="1244"/>
      <c r="R201" s="1244"/>
      <c r="S201" s="1244"/>
      <c r="T201" s="1244"/>
      <c r="U201" s="1244"/>
      <c r="V201" s="23"/>
    </row>
    <row r="202" spans="1:22" s="16" customFormat="1" ht="16.5" customHeight="1" x14ac:dyDescent="0.2">
      <c r="A202" s="14"/>
      <c r="B202" s="62"/>
      <c r="C202" s="1244"/>
      <c r="D202" s="1244"/>
      <c r="E202" s="1244"/>
      <c r="F202" s="1244"/>
      <c r="G202" s="1244"/>
      <c r="H202" s="1244"/>
      <c r="I202" s="1244"/>
      <c r="J202" s="1244"/>
      <c r="K202" s="1244"/>
      <c r="L202" s="1244"/>
      <c r="M202" s="1244"/>
      <c r="N202" s="1244"/>
      <c r="O202" s="1244"/>
      <c r="P202" s="1244"/>
      <c r="Q202" s="1244"/>
      <c r="R202" s="1244"/>
      <c r="S202" s="1244"/>
      <c r="T202" s="1244"/>
      <c r="U202" s="1244"/>
      <c r="V202" s="23"/>
    </row>
    <row r="203" spans="1:22" s="16" customFormat="1" ht="16.5" customHeight="1" x14ac:dyDescent="0.2">
      <c r="A203" s="14"/>
      <c r="B203" s="62"/>
      <c r="C203" s="62"/>
      <c r="D203" s="62"/>
      <c r="E203" s="62"/>
      <c r="F203" s="62"/>
      <c r="G203" s="62"/>
      <c r="H203" s="62"/>
      <c r="I203" s="62"/>
      <c r="J203" s="62"/>
      <c r="K203" s="62"/>
      <c r="L203" s="63"/>
      <c r="M203" s="63"/>
      <c r="N203" s="63"/>
      <c r="O203" s="63"/>
      <c r="P203" s="63"/>
      <c r="Q203" s="63"/>
      <c r="R203" s="63"/>
      <c r="S203" s="63"/>
      <c r="T203" s="63"/>
      <c r="U203" s="63"/>
      <c r="V203" s="23"/>
    </row>
    <row r="204" spans="1:22" s="16" customFormat="1" ht="16.5" customHeight="1" x14ac:dyDescent="0.2">
      <c r="A204" s="14"/>
      <c r="B204" s="62"/>
      <c r="C204" s="62"/>
      <c r="D204" s="62"/>
      <c r="E204" s="62"/>
      <c r="F204" s="62"/>
      <c r="G204" s="62"/>
      <c r="H204" s="62"/>
      <c r="I204" s="62"/>
      <c r="J204" s="62"/>
      <c r="K204" s="62"/>
      <c r="L204" s="63"/>
      <c r="M204" s="63"/>
      <c r="N204" s="63"/>
      <c r="O204" s="63"/>
      <c r="P204" s="63"/>
      <c r="Q204" s="63"/>
      <c r="R204" s="63"/>
      <c r="S204" s="63"/>
      <c r="T204" s="63"/>
      <c r="U204" s="63"/>
      <c r="V204" s="23"/>
    </row>
    <row r="205" spans="1:22" s="16" customFormat="1" ht="16.5" customHeight="1" x14ac:dyDescent="0.2">
      <c r="A205" s="14"/>
      <c r="B205" s="62"/>
      <c r="C205" s="62"/>
      <c r="D205" s="62"/>
      <c r="E205" s="62"/>
      <c r="F205" s="62"/>
      <c r="G205" s="62"/>
      <c r="H205" s="62"/>
      <c r="I205" s="62"/>
      <c r="J205" s="62"/>
      <c r="K205" s="62"/>
      <c r="L205" s="63"/>
      <c r="M205" s="63"/>
      <c r="N205" s="63"/>
      <c r="O205" s="63"/>
      <c r="P205" s="63"/>
      <c r="Q205" s="63"/>
      <c r="R205" s="63"/>
      <c r="S205" s="63"/>
      <c r="T205" s="63"/>
      <c r="U205" s="63"/>
      <c r="V205" s="23"/>
    </row>
    <row r="206" spans="1:22" s="16" customFormat="1" ht="16.5" customHeight="1" x14ac:dyDescent="0.2">
      <c r="A206" s="14"/>
      <c r="B206" s="62"/>
      <c r="C206" s="62"/>
      <c r="D206" s="62"/>
      <c r="E206" s="62"/>
      <c r="F206" s="62"/>
      <c r="G206" s="62"/>
      <c r="H206" s="62"/>
      <c r="I206" s="62"/>
      <c r="J206" s="62"/>
      <c r="K206" s="62"/>
      <c r="L206" s="63"/>
      <c r="M206" s="63"/>
      <c r="N206" s="63"/>
      <c r="O206" s="63"/>
      <c r="P206" s="63"/>
      <c r="Q206" s="63"/>
      <c r="R206" s="63"/>
      <c r="S206" s="63"/>
      <c r="T206" s="63"/>
      <c r="U206" s="63"/>
      <c r="V206" s="23"/>
    </row>
    <row r="207" spans="1:22" s="16" customFormat="1" ht="16.5" customHeight="1" x14ac:dyDescent="0.2">
      <c r="A207" s="14"/>
      <c r="B207" s="62"/>
      <c r="C207" s="62"/>
      <c r="D207" s="62"/>
      <c r="E207" s="62"/>
      <c r="F207" s="62"/>
      <c r="G207" s="62"/>
      <c r="H207" s="62"/>
      <c r="I207" s="62"/>
      <c r="J207" s="62"/>
      <c r="K207" s="62"/>
      <c r="L207" s="63"/>
      <c r="M207" s="63"/>
      <c r="N207" s="63"/>
      <c r="O207" s="63"/>
      <c r="P207" s="63"/>
      <c r="Q207" s="63"/>
      <c r="R207" s="63"/>
      <c r="S207" s="63"/>
      <c r="T207" s="63"/>
      <c r="U207" s="63"/>
      <c r="V207" s="23"/>
    </row>
    <row r="208" spans="1:22" s="16" customFormat="1" ht="16.5" customHeight="1" x14ac:dyDescent="0.2">
      <c r="A208" s="14"/>
      <c r="B208" s="62"/>
      <c r="C208" s="62"/>
      <c r="D208" s="62"/>
      <c r="E208" s="62"/>
      <c r="F208" s="62"/>
      <c r="G208" s="62"/>
      <c r="H208" s="62"/>
      <c r="I208" s="62"/>
      <c r="J208" s="62"/>
      <c r="K208" s="62"/>
      <c r="L208" s="63"/>
      <c r="M208" s="63"/>
      <c r="N208" s="63"/>
      <c r="O208" s="63"/>
      <c r="P208" s="63"/>
      <c r="Q208" s="63"/>
      <c r="R208" s="63"/>
      <c r="S208" s="63"/>
      <c r="T208" s="63"/>
      <c r="U208" s="63"/>
      <c r="V208" s="23"/>
    </row>
    <row r="209" spans="1:39" s="16" customFormat="1" ht="16.5" customHeight="1" x14ac:dyDescent="0.2">
      <c r="A209" s="1245" t="s">
        <v>185</v>
      </c>
      <c r="B209" s="1245"/>
      <c r="C209" s="1245"/>
      <c r="D209" s="1245"/>
      <c r="E209" s="1245"/>
      <c r="F209" s="1245"/>
      <c r="G209" s="1245"/>
      <c r="H209" s="1245"/>
      <c r="I209" s="1245"/>
      <c r="J209" s="1245"/>
      <c r="K209" s="1245"/>
      <c r="L209" s="1245"/>
      <c r="M209" s="1245"/>
      <c r="N209" s="1245"/>
      <c r="O209" s="1245"/>
      <c r="P209" s="1245"/>
      <c r="Q209" s="1245"/>
      <c r="R209" s="1245"/>
      <c r="S209" s="1245"/>
      <c r="T209" s="1245"/>
      <c r="U209" s="64"/>
      <c r="V209" s="23"/>
    </row>
    <row r="210" spans="1:39" s="16" customFormat="1" ht="16.5" customHeight="1" x14ac:dyDescent="0.2">
      <c r="A210" s="1245" t="s">
        <v>186</v>
      </c>
      <c r="B210" s="1245"/>
      <c r="C210" s="1245"/>
      <c r="D210" s="1245"/>
      <c r="E210" s="1245"/>
      <c r="F210" s="1245"/>
      <c r="G210" s="1245"/>
      <c r="H210" s="1245"/>
      <c r="I210" s="1245"/>
      <c r="J210" s="1245"/>
      <c r="K210" s="1245"/>
      <c r="L210" s="1245"/>
      <c r="M210" s="1245"/>
      <c r="N210" s="1245"/>
      <c r="O210" s="1245"/>
      <c r="P210" s="1245"/>
      <c r="Q210" s="1245"/>
      <c r="R210" s="1245"/>
      <c r="S210" s="1245"/>
      <c r="T210" s="1245"/>
      <c r="U210" s="64"/>
      <c r="V210" s="23"/>
    </row>
    <row r="211" spans="1:39" s="16" customFormat="1" ht="16.5" customHeight="1" x14ac:dyDescent="0.2">
      <c r="A211" s="34"/>
      <c r="B211" s="28"/>
      <c r="C211" s="28"/>
      <c r="D211" s="28"/>
      <c r="E211" s="28"/>
      <c r="F211" s="28"/>
      <c r="G211" s="28"/>
      <c r="H211" s="28"/>
      <c r="I211" s="28"/>
      <c r="J211" s="28"/>
      <c r="K211" s="28"/>
      <c r="L211" s="64"/>
      <c r="M211" s="64"/>
      <c r="N211" s="64"/>
      <c r="O211" s="64"/>
      <c r="P211" s="64"/>
      <c r="Q211" s="64"/>
      <c r="R211" s="64"/>
      <c r="S211" s="64"/>
      <c r="T211" s="64"/>
      <c r="U211" s="64"/>
      <c r="V211" s="23"/>
    </row>
    <row r="212" spans="1:39" s="16" customFormat="1" ht="16.5" customHeight="1" x14ac:dyDescent="0.2">
      <c r="A212" s="34"/>
      <c r="B212" s="70" t="s">
        <v>187</v>
      </c>
      <c r="C212" s="1246" t="s">
        <v>188</v>
      </c>
      <c r="D212" s="1246"/>
      <c r="E212" s="1246"/>
      <c r="F212" s="1246"/>
      <c r="G212" s="1246"/>
      <c r="H212" s="1246"/>
      <c r="I212" s="1246"/>
      <c r="J212" s="1246"/>
      <c r="K212" s="1246"/>
      <c r="L212" s="1246"/>
      <c r="M212" s="1246"/>
      <c r="N212" s="1246"/>
      <c r="O212" s="1246"/>
      <c r="P212" s="1246"/>
      <c r="Q212" s="1246"/>
      <c r="R212" s="1246"/>
      <c r="S212" s="1246"/>
      <c r="T212" s="1246"/>
      <c r="U212" s="1246"/>
      <c r="V212" s="23"/>
    </row>
    <row r="213" spans="1:39" s="16" customFormat="1" ht="47.25" customHeight="1" x14ac:dyDescent="0.2">
      <c r="A213" s="14"/>
      <c r="B213" s="71"/>
      <c r="C213" s="407" t="str">
        <f>"Laporan Realisasi Anggaran Tahun Anggaran "&amp;'[1]2.ISIAN DATA SKPD'!D11&amp;" menggambarkan perbandingan antara anggaran dengan realisasinya dalam satu periode pelaporan."</f>
        <v>Laporan Realisasi Anggaran Tahun Anggaran 2018 menggambarkan perbandingan antara anggaran dengan realisasinya dalam satu periode pelaporan.</v>
      </c>
      <c r="D213" s="407"/>
      <c r="E213" s="407"/>
      <c r="F213" s="407"/>
      <c r="G213" s="407"/>
      <c r="H213" s="407"/>
      <c r="I213" s="407"/>
      <c r="J213" s="407"/>
      <c r="K213" s="407"/>
      <c r="L213" s="407"/>
      <c r="M213" s="407"/>
      <c r="N213" s="407"/>
      <c r="O213" s="407"/>
      <c r="P213" s="407"/>
      <c r="Q213" s="407"/>
      <c r="R213" s="407"/>
      <c r="S213" s="407"/>
      <c r="T213" s="407"/>
      <c r="U213" s="407"/>
      <c r="V213" s="1242"/>
      <c r="W213" s="1242"/>
      <c r="X213" s="1242"/>
      <c r="Y213" s="1242"/>
      <c r="Z213" s="1242"/>
      <c r="AA213" s="1242"/>
      <c r="AB213" s="1242"/>
      <c r="AC213" s="1242"/>
      <c r="AD213" s="1242"/>
      <c r="AE213" s="1242"/>
      <c r="AF213" s="1242"/>
      <c r="AG213" s="1242"/>
      <c r="AH213" s="1242"/>
      <c r="AI213" s="1242"/>
      <c r="AJ213" s="1242"/>
      <c r="AK213" s="1242"/>
      <c r="AL213" s="1242"/>
      <c r="AM213" s="1242"/>
    </row>
    <row r="214" spans="1:39" s="16" customFormat="1" ht="27.75" customHeight="1" x14ac:dyDescent="0.2">
      <c r="A214" s="429"/>
      <c r="B214" s="72" t="s">
        <v>189</v>
      </c>
      <c r="C214" s="19" t="s">
        <v>190</v>
      </c>
      <c r="D214" s="73"/>
      <c r="E214" s="74"/>
      <c r="F214" s="74"/>
      <c r="G214" s="74"/>
      <c r="H214" s="23"/>
      <c r="I214" s="23"/>
      <c r="J214" s="23"/>
      <c r="K214" s="23"/>
      <c r="L214" s="29"/>
      <c r="M214" s="29"/>
      <c r="N214" s="29"/>
      <c r="O214" s="29"/>
      <c r="P214" s="29"/>
      <c r="Q214" s="29"/>
      <c r="R214" s="29"/>
      <c r="S214" s="29"/>
      <c r="T214" s="20"/>
      <c r="U214" s="20"/>
      <c r="V214" s="23"/>
    </row>
    <row r="215" spans="1:39" s="16" customFormat="1" ht="66.75" customHeight="1" x14ac:dyDescent="0.2">
      <c r="A215" s="429"/>
      <c r="C215" s="407" t="str">
        <f>"Realisasi Pendapatan untuk periode yang berakhir pada "&amp;'[1]2.ISIAN DATA SKPD'!D8 &amp;" adalah sebesar Rp. "&amp;FIXED(J234) &amp;" atau mencapai  "&amp;FIXED(V234)&amp;" % dari estimasi pendapatan yang ditetapkan sebesar Rp. "&amp;FIXED(D234)&amp;" kurang dari anggaran sebesar Rp. "&amp;FIXED('[1]3.LRA'!G18)&amp;"."</f>
        <v>Realisasi Pendapatan untuk periode yang berakhir pada 31 Desember 2018 adalah sebesar Rp. 12.984.000,00 atau mencapai  339,10 % dari estimasi pendapatan yang ditetapkan sebesar Rp. 3.828.929,00 kurang dari anggaran sebesar Rp. 9.155.071,00.</v>
      </c>
      <c r="D215" s="407"/>
      <c r="E215" s="407"/>
      <c r="F215" s="407"/>
      <c r="G215" s="407"/>
      <c r="H215" s="407"/>
      <c r="I215" s="407"/>
      <c r="J215" s="407"/>
      <c r="K215" s="407"/>
      <c r="L215" s="407"/>
      <c r="M215" s="407"/>
      <c r="N215" s="407"/>
      <c r="O215" s="407"/>
      <c r="P215" s="407"/>
      <c r="Q215" s="407"/>
      <c r="R215" s="407"/>
      <c r="S215" s="407"/>
      <c r="T215" s="407"/>
      <c r="U215" s="407"/>
      <c r="V215" s="1243"/>
      <c r="W215" s="1243"/>
      <c r="X215" s="1243"/>
      <c r="Y215" s="1243"/>
      <c r="Z215" s="1243"/>
      <c r="AA215" s="1243"/>
      <c r="AB215" s="1243"/>
      <c r="AC215" s="1243"/>
      <c r="AD215" s="1243"/>
      <c r="AE215" s="1243"/>
      <c r="AF215" s="1243"/>
      <c r="AG215" s="1243"/>
      <c r="AH215" s="1243"/>
      <c r="AI215" s="1243"/>
      <c r="AJ215" s="1243"/>
      <c r="AK215" s="1243"/>
      <c r="AL215" s="1243"/>
      <c r="AM215" s="1243"/>
    </row>
    <row r="216" spans="1:39" s="16" customFormat="1" ht="64.5" customHeight="1" x14ac:dyDescent="0.2">
      <c r="A216" s="75"/>
      <c r="C216" s="407" t="str">
        <f>"Pendapatan "&amp;'[1]2.ISIAN DATA SKPD'!D2&amp;" berasal dari Pendapatan Asli Daerah, Pendapatan Transfer dan Lain-lain Pendapatan Yang Sah. Rincian estimasi pendapatan dan realisasinya adalah sebagai berikut: "</f>
        <v xml:space="preserve">Pendapatan Dinas Pariwisata Dan Kebudayaan berasal dari Pendapatan Asli Daerah, Pendapatan Transfer dan Lain-lain Pendapatan Yang Sah. Rincian estimasi pendapatan dan realisasinya adalah sebagai berikut: </v>
      </c>
      <c r="D216" s="407"/>
      <c r="E216" s="407"/>
      <c r="F216" s="407"/>
      <c r="G216" s="407"/>
      <c r="H216" s="407"/>
      <c r="I216" s="407"/>
      <c r="J216" s="407"/>
      <c r="K216" s="407"/>
      <c r="L216" s="407"/>
      <c r="M216" s="407"/>
      <c r="N216" s="407"/>
      <c r="O216" s="407"/>
      <c r="P216" s="407"/>
      <c r="Q216" s="407"/>
      <c r="R216" s="407"/>
      <c r="S216" s="407"/>
      <c r="T216" s="407"/>
      <c r="U216" s="407"/>
      <c r="V216" s="1243"/>
      <c r="W216" s="1243"/>
      <c r="X216" s="1243"/>
      <c r="Y216" s="1243"/>
      <c r="Z216" s="1243"/>
      <c r="AA216" s="1243"/>
      <c r="AB216" s="1243"/>
      <c r="AC216" s="1243"/>
      <c r="AD216" s="1243"/>
      <c r="AE216" s="1243"/>
      <c r="AF216" s="1243"/>
      <c r="AG216" s="1243"/>
      <c r="AH216" s="1243"/>
      <c r="AI216" s="1243"/>
      <c r="AJ216" s="1243"/>
      <c r="AK216" s="1243"/>
      <c r="AL216" s="1243"/>
      <c r="AM216" s="1243"/>
    </row>
    <row r="217" spans="1:39" s="16" customFormat="1" ht="19.5" customHeight="1" x14ac:dyDescent="0.2">
      <c r="A217" s="14"/>
      <c r="B217" s="23"/>
      <c r="C217" s="23"/>
      <c r="D217" s="76"/>
      <c r="E217" s="77"/>
      <c r="F217" s="77"/>
      <c r="G217" s="77"/>
      <c r="H217" s="77"/>
      <c r="I217" s="77"/>
      <c r="J217" s="77"/>
      <c r="K217" s="77"/>
      <c r="L217" s="77"/>
      <c r="M217" s="77"/>
      <c r="N217" s="77"/>
      <c r="O217" s="77"/>
      <c r="P217" s="77"/>
      <c r="Q217" s="77"/>
      <c r="R217" s="77"/>
      <c r="S217" s="77"/>
      <c r="T217" s="37"/>
      <c r="U217" s="37"/>
      <c r="V217" s="23"/>
    </row>
    <row r="218" spans="1:39" s="16" customFormat="1" ht="18" customHeight="1" x14ac:dyDescent="0.2">
      <c r="A218" s="14"/>
      <c r="B218" s="1237" t="str">
        <f>"Rincian Estimasi dan Realisasi Pendapatan  Tahun "&amp;'[1]2.ISIAN DATA SKPD'!D11&amp;""</f>
        <v>Rincian Estimasi dan Realisasi Pendapatan  Tahun 2018</v>
      </c>
      <c r="C218" s="1237"/>
      <c r="D218" s="1237"/>
      <c r="E218" s="1237"/>
      <c r="F218" s="1237"/>
      <c r="G218" s="1238"/>
      <c r="H218" s="1238"/>
      <c r="I218" s="1238"/>
      <c r="J218" s="1238"/>
      <c r="K218" s="1238"/>
      <c r="L218" s="1238"/>
      <c r="M218" s="1238"/>
      <c r="N218" s="1238"/>
      <c r="O218" s="1238"/>
      <c r="P218" s="1238"/>
      <c r="Q218" s="1238"/>
      <c r="R218" s="1238"/>
      <c r="S218" s="1238"/>
      <c r="T218" s="1238"/>
      <c r="U218" s="1238"/>
      <c r="V218" s="23"/>
    </row>
    <row r="219" spans="1:39" s="16" customFormat="1" ht="18.75" customHeight="1" x14ac:dyDescent="0.2">
      <c r="A219" s="1165" t="s">
        <v>125</v>
      </c>
      <c r="B219" s="596"/>
      <c r="C219" s="777"/>
      <c r="D219" s="1143">
        <f>'[1]2.ISIAN DATA SKPD'!D11</f>
        <v>2018</v>
      </c>
      <c r="E219" s="1144"/>
      <c r="F219" s="1144"/>
      <c r="G219" s="1144"/>
      <c r="H219" s="1144"/>
      <c r="I219" s="1144"/>
      <c r="J219" s="1144"/>
      <c r="K219" s="1144"/>
      <c r="L219" s="1144"/>
      <c r="M219" s="1144"/>
      <c r="N219" s="1145"/>
      <c r="O219" s="1020">
        <f>'[1]2.ISIAN DATA SKPD'!D12</f>
        <v>2017</v>
      </c>
      <c r="P219" s="1021"/>
      <c r="Q219" s="1021"/>
      <c r="R219" s="1021"/>
      <c r="S219" s="1022"/>
      <c r="T219" s="1209" t="s">
        <v>191</v>
      </c>
      <c r="U219" s="1210"/>
      <c r="V219" s="23"/>
    </row>
    <row r="220" spans="1:39" s="16" customFormat="1" ht="21" customHeight="1" x14ac:dyDescent="0.2">
      <c r="A220" s="1239"/>
      <c r="B220" s="1240"/>
      <c r="C220" s="1241"/>
      <c r="D220" s="1143" t="s">
        <v>192</v>
      </c>
      <c r="E220" s="1144"/>
      <c r="F220" s="1144"/>
      <c r="G220" s="1144"/>
      <c r="H220" s="1144"/>
      <c r="I220" s="1145"/>
      <c r="J220" s="1020" t="s">
        <v>193</v>
      </c>
      <c r="K220" s="1021"/>
      <c r="L220" s="1021"/>
      <c r="M220" s="1021"/>
      <c r="N220" s="1022"/>
      <c r="O220" s="1020" t="s">
        <v>193</v>
      </c>
      <c r="P220" s="1021"/>
      <c r="Q220" s="1021"/>
      <c r="R220" s="1021"/>
      <c r="S220" s="1022"/>
      <c r="T220" s="1211"/>
      <c r="U220" s="1212"/>
      <c r="V220" s="810" t="s">
        <v>194</v>
      </c>
      <c r="W220" s="901"/>
      <c r="X220" s="901"/>
      <c r="Y220" s="1231" t="s">
        <v>195</v>
      </c>
      <c r="Z220" s="1232"/>
      <c r="AA220" s="1232"/>
      <c r="AB220" s="1232" t="s">
        <v>196</v>
      </c>
      <c r="AC220" s="1231" t="s">
        <v>197</v>
      </c>
      <c r="AD220" s="1232"/>
      <c r="AE220" s="1232"/>
      <c r="AF220" s="1232"/>
    </row>
    <row r="221" spans="1:39" s="16" customFormat="1" ht="30" customHeight="1" x14ac:dyDescent="0.2">
      <c r="A221" s="1219" t="s">
        <v>198</v>
      </c>
      <c r="B221" s="1220"/>
      <c r="C221" s="1221"/>
      <c r="D221" s="1185">
        <f>SUM(D222:I225)</f>
        <v>3828929</v>
      </c>
      <c r="E221" s="1186"/>
      <c r="F221" s="1186"/>
      <c r="G221" s="1186"/>
      <c r="H221" s="1186"/>
      <c r="I221" s="1187"/>
      <c r="J221" s="1213">
        <f>SUM(J222:N225)</f>
        <v>12984000</v>
      </c>
      <c r="K221" s="1214"/>
      <c r="L221" s="1214"/>
      <c r="M221" s="1214"/>
      <c r="N221" s="1215"/>
      <c r="O221" s="1233">
        <f>SUM(O222:S225)</f>
        <v>3742363000</v>
      </c>
      <c r="P221" s="1234"/>
      <c r="Q221" s="1234"/>
      <c r="R221" s="1234"/>
      <c r="S221" s="1235"/>
      <c r="T221" s="1236">
        <v>100</v>
      </c>
      <c r="U221" s="1134"/>
      <c r="V221" s="810">
        <f>J221/D221*100</f>
        <v>339.10265768835097</v>
      </c>
      <c r="W221" s="901"/>
      <c r="X221" s="901"/>
      <c r="Y221" s="471">
        <f t="shared" ref="Y221:Y234" si="4">D221-J221</f>
        <v>-9155071</v>
      </c>
      <c r="Z221" s="472"/>
      <c r="AA221" s="472"/>
      <c r="AB221" s="472"/>
      <c r="AC221" s="1088">
        <f t="shared" ref="AC221:AC234" si="5">J221-O221</f>
        <v>-3729379000</v>
      </c>
      <c r="AD221" s="1089"/>
      <c r="AE221" s="1089"/>
      <c r="AF221" s="1089"/>
    </row>
    <row r="222" spans="1:39" s="16" customFormat="1" ht="16.5" customHeight="1" x14ac:dyDescent="0.2">
      <c r="A222" s="1182" t="s">
        <v>199</v>
      </c>
      <c r="B222" s="1183"/>
      <c r="C222" s="1184"/>
      <c r="D222" s="1222">
        <f>'[1]3.LRA'!D20</f>
        <v>0</v>
      </c>
      <c r="E222" s="1223"/>
      <c r="F222" s="1223"/>
      <c r="G222" s="1223"/>
      <c r="H222" s="1223"/>
      <c r="I222" s="1224"/>
      <c r="J222" s="1225">
        <f>'[1]3.LRA'!E20</f>
        <v>0</v>
      </c>
      <c r="K222" s="1226"/>
      <c r="L222" s="1226"/>
      <c r="M222" s="1226"/>
      <c r="N222" s="1227"/>
      <c r="O222" s="1228">
        <f>'[1]3.LRA'!I20</f>
        <v>0</v>
      </c>
      <c r="P222" s="1229"/>
      <c r="Q222" s="1229"/>
      <c r="R222" s="1229"/>
      <c r="S222" s="1230"/>
      <c r="T222" s="1133">
        <v>0</v>
      </c>
      <c r="U222" s="1134"/>
      <c r="V222" s="810" t="e">
        <f t="shared" ref="V222:V234" si="6">J222/D222*100</f>
        <v>#DIV/0!</v>
      </c>
      <c r="W222" s="901"/>
      <c r="X222" s="901"/>
      <c r="Y222" s="471">
        <f t="shared" si="4"/>
        <v>0</v>
      </c>
      <c r="Z222" s="472"/>
      <c r="AA222" s="472"/>
      <c r="AB222" s="472"/>
      <c r="AC222" s="1088">
        <f t="shared" si="5"/>
        <v>0</v>
      </c>
      <c r="AD222" s="1089"/>
      <c r="AE222" s="1089"/>
      <c r="AF222" s="1089"/>
    </row>
    <row r="223" spans="1:39" s="16" customFormat="1" ht="16.5" customHeight="1" x14ac:dyDescent="0.2">
      <c r="A223" s="1182" t="s">
        <v>200</v>
      </c>
      <c r="B223" s="1183"/>
      <c r="C223" s="1184"/>
      <c r="D223" s="1222">
        <f>'[1]3.LRA'!D21</f>
        <v>3828929</v>
      </c>
      <c r="E223" s="1223"/>
      <c r="F223" s="1223"/>
      <c r="G223" s="1223"/>
      <c r="H223" s="1223"/>
      <c r="I223" s="1224"/>
      <c r="J223" s="1225">
        <f>'[1]3.LRA'!E21</f>
        <v>12984000</v>
      </c>
      <c r="K223" s="1226"/>
      <c r="L223" s="1226"/>
      <c r="M223" s="1226"/>
      <c r="N223" s="1227"/>
      <c r="O223" s="1228">
        <f>'[1]3.LRA'!I21</f>
        <v>3742363000</v>
      </c>
      <c r="P223" s="1229"/>
      <c r="Q223" s="1229"/>
      <c r="R223" s="1229"/>
      <c r="S223" s="1230"/>
      <c r="T223" s="1133">
        <v>0</v>
      </c>
      <c r="U223" s="1134"/>
      <c r="V223" s="810">
        <f t="shared" si="6"/>
        <v>339.10265768835097</v>
      </c>
      <c r="W223" s="901"/>
      <c r="X223" s="901"/>
      <c r="Y223" s="471">
        <f t="shared" si="4"/>
        <v>-9155071</v>
      </c>
      <c r="Z223" s="472"/>
      <c r="AA223" s="472"/>
      <c r="AB223" s="472"/>
      <c r="AC223" s="1088">
        <f t="shared" si="5"/>
        <v>-3729379000</v>
      </c>
      <c r="AD223" s="1089"/>
      <c r="AE223" s="1089"/>
      <c r="AF223" s="1089"/>
    </row>
    <row r="224" spans="1:39" s="16" customFormat="1" ht="42.75" customHeight="1" x14ac:dyDescent="0.2">
      <c r="A224" s="1182" t="s">
        <v>201</v>
      </c>
      <c r="B224" s="1183"/>
      <c r="C224" s="1184"/>
      <c r="D224" s="1222">
        <f>'[1]3.LRA'!D22</f>
        <v>0</v>
      </c>
      <c r="E224" s="1223"/>
      <c r="F224" s="1223"/>
      <c r="G224" s="1223"/>
      <c r="H224" s="1223"/>
      <c r="I224" s="1224"/>
      <c r="J224" s="1225">
        <f>'[1]3.LRA'!E22</f>
        <v>0</v>
      </c>
      <c r="K224" s="1226"/>
      <c r="L224" s="1226"/>
      <c r="M224" s="1226"/>
      <c r="N224" s="1227"/>
      <c r="O224" s="1228">
        <f>'[1]3.LRA'!I22</f>
        <v>0</v>
      </c>
      <c r="P224" s="1229"/>
      <c r="Q224" s="1229"/>
      <c r="R224" s="1229"/>
      <c r="S224" s="1230"/>
      <c r="T224" s="1133">
        <v>0</v>
      </c>
      <c r="U224" s="1134"/>
      <c r="V224" s="810" t="e">
        <f t="shared" si="6"/>
        <v>#DIV/0!</v>
      </c>
      <c r="W224" s="901"/>
      <c r="X224" s="901"/>
      <c r="Y224" s="471">
        <f t="shared" si="4"/>
        <v>0</v>
      </c>
      <c r="Z224" s="472"/>
      <c r="AA224" s="472"/>
      <c r="AB224" s="472"/>
      <c r="AC224" s="1088">
        <f t="shared" si="5"/>
        <v>0</v>
      </c>
      <c r="AD224" s="1089"/>
      <c r="AE224" s="1089"/>
      <c r="AF224" s="1089"/>
    </row>
    <row r="225" spans="1:38" s="16" customFormat="1" ht="15.75" customHeight="1" x14ac:dyDescent="0.2">
      <c r="A225" s="1182" t="s">
        <v>202</v>
      </c>
      <c r="B225" s="1183"/>
      <c r="C225" s="1184"/>
      <c r="D225" s="1222">
        <f>'[1]3.LRA'!D23</f>
        <v>0</v>
      </c>
      <c r="E225" s="1223"/>
      <c r="F225" s="1223"/>
      <c r="G225" s="1223"/>
      <c r="H225" s="1223"/>
      <c r="I225" s="1224"/>
      <c r="J225" s="1225">
        <f>'[1]3.LRA'!E23</f>
        <v>0</v>
      </c>
      <c r="K225" s="1226"/>
      <c r="L225" s="1226"/>
      <c r="M225" s="1226"/>
      <c r="N225" s="1227"/>
      <c r="O225" s="1228">
        <f>'[1]3.LRA'!I23</f>
        <v>0</v>
      </c>
      <c r="P225" s="1229"/>
      <c r="Q225" s="1229"/>
      <c r="R225" s="1229"/>
      <c r="S225" s="1230"/>
      <c r="T225" s="1133">
        <v>0</v>
      </c>
      <c r="U225" s="1134"/>
      <c r="V225" s="810" t="e">
        <f t="shared" si="6"/>
        <v>#DIV/0!</v>
      </c>
      <c r="W225" s="901"/>
      <c r="X225" s="901"/>
      <c r="Y225" s="471">
        <f t="shared" si="4"/>
        <v>0</v>
      </c>
      <c r="Z225" s="472"/>
      <c r="AA225" s="472"/>
      <c r="AB225" s="472"/>
      <c r="AC225" s="1088">
        <f t="shared" si="5"/>
        <v>0</v>
      </c>
      <c r="AD225" s="1089"/>
      <c r="AE225" s="1089"/>
      <c r="AF225" s="1089"/>
    </row>
    <row r="226" spans="1:38" s="16" customFormat="1" ht="19.5" customHeight="1" x14ac:dyDescent="0.2">
      <c r="A226" s="1219" t="s">
        <v>203</v>
      </c>
      <c r="B226" s="1220"/>
      <c r="C226" s="1221"/>
      <c r="D226" s="1185">
        <f>SUM(D227:J228)</f>
        <v>0</v>
      </c>
      <c r="E226" s="1186"/>
      <c r="F226" s="1186"/>
      <c r="G226" s="1186"/>
      <c r="H226" s="1186"/>
      <c r="I226" s="1187"/>
      <c r="J226" s="1213">
        <f>SUM(J227:O228)</f>
        <v>0</v>
      </c>
      <c r="K226" s="1214"/>
      <c r="L226" s="1214"/>
      <c r="M226" s="1214"/>
      <c r="N226" s="1215"/>
      <c r="O226" s="1159">
        <f>SUM(O227:S229)</f>
        <v>0</v>
      </c>
      <c r="P226" s="1160"/>
      <c r="Q226" s="1160"/>
      <c r="R226" s="1160"/>
      <c r="S226" s="1161"/>
      <c r="T226" s="1133">
        <v>0</v>
      </c>
      <c r="U226" s="1134"/>
      <c r="V226" s="810" t="e">
        <f t="shared" si="6"/>
        <v>#DIV/0!</v>
      </c>
      <c r="W226" s="901"/>
      <c r="X226" s="901"/>
      <c r="Y226" s="471">
        <f t="shared" si="4"/>
        <v>0</v>
      </c>
      <c r="Z226" s="472"/>
      <c r="AA226" s="472"/>
      <c r="AB226" s="472"/>
      <c r="AC226" s="1088">
        <f t="shared" si="5"/>
        <v>0</v>
      </c>
      <c r="AD226" s="1089"/>
      <c r="AE226" s="1089"/>
      <c r="AF226" s="1089"/>
    </row>
    <row r="227" spans="1:38" s="16" customFormat="1" ht="44.25" customHeight="1" x14ac:dyDescent="0.2">
      <c r="A227" s="1182" t="str">
        <f>'[1]3.LRA'!C26</f>
        <v>Transfer Pemerintah Pusat ( Dana Perimbangan)</v>
      </c>
      <c r="B227" s="1183"/>
      <c r="C227" s="1184"/>
      <c r="D227" s="1185">
        <f>'[1]3.LRA'!D26</f>
        <v>0</v>
      </c>
      <c r="E227" s="1186"/>
      <c r="F227" s="1186"/>
      <c r="G227" s="1186"/>
      <c r="H227" s="1186"/>
      <c r="I227" s="1187"/>
      <c r="J227" s="1213">
        <f>'[1]3.LRA'!E26</f>
        <v>0</v>
      </c>
      <c r="K227" s="1214"/>
      <c r="L227" s="1214"/>
      <c r="M227" s="1214"/>
      <c r="N227" s="1215"/>
      <c r="O227" s="1159">
        <f>'[1]3.LRA'!I26</f>
        <v>0</v>
      </c>
      <c r="P227" s="1160"/>
      <c r="Q227" s="1160"/>
      <c r="R227" s="1160"/>
      <c r="S227" s="1161"/>
      <c r="T227" s="1133">
        <v>0</v>
      </c>
      <c r="U227" s="1134"/>
      <c r="V227" s="810" t="e">
        <f t="shared" si="6"/>
        <v>#DIV/0!</v>
      </c>
      <c r="W227" s="901"/>
      <c r="X227" s="901"/>
      <c r="Y227" s="471">
        <f t="shared" si="4"/>
        <v>0</v>
      </c>
      <c r="Z227" s="472"/>
      <c r="AA227" s="472"/>
      <c r="AB227" s="472"/>
      <c r="AC227" s="1088">
        <f t="shared" si="5"/>
        <v>0</v>
      </c>
      <c r="AD227" s="1089"/>
      <c r="AE227" s="1089"/>
      <c r="AF227" s="1089"/>
    </row>
    <row r="228" spans="1:38" s="16" customFormat="1" ht="29.25" customHeight="1" x14ac:dyDescent="0.2">
      <c r="A228" s="1182" t="str">
        <f>'[1]3.LRA'!C27</f>
        <v>Transfer Pemerintah Pusat Lainnya</v>
      </c>
      <c r="B228" s="1183"/>
      <c r="C228" s="1184"/>
      <c r="D228" s="1185">
        <f>'[1]3.LRA'!D27</f>
        <v>0</v>
      </c>
      <c r="E228" s="1186"/>
      <c r="F228" s="1186"/>
      <c r="G228" s="1186"/>
      <c r="H228" s="1186"/>
      <c r="I228" s="1187"/>
      <c r="J228" s="1213">
        <f>'[1]3.LRA'!E27</f>
        <v>0</v>
      </c>
      <c r="K228" s="1214"/>
      <c r="L228" s="1214"/>
      <c r="M228" s="1214"/>
      <c r="N228" s="1215"/>
      <c r="O228" s="1159">
        <f>'[1]3.LRA'!I27</f>
        <v>0</v>
      </c>
      <c r="P228" s="1160"/>
      <c r="Q228" s="1160"/>
      <c r="R228" s="1160"/>
      <c r="S228" s="1161"/>
      <c r="T228" s="1133">
        <v>0</v>
      </c>
      <c r="U228" s="1134"/>
      <c r="V228" s="810" t="e">
        <f t="shared" si="6"/>
        <v>#DIV/0!</v>
      </c>
      <c r="W228" s="901"/>
      <c r="X228" s="901"/>
      <c r="Y228" s="471">
        <f t="shared" si="4"/>
        <v>0</v>
      </c>
      <c r="Z228" s="472"/>
      <c r="AA228" s="472"/>
      <c r="AB228" s="472"/>
      <c r="AC228" s="1088">
        <f t="shared" si="5"/>
        <v>0</v>
      </c>
      <c r="AD228" s="1089"/>
      <c r="AE228" s="1089"/>
      <c r="AF228" s="1089"/>
    </row>
    <row r="229" spans="1:38" s="16" customFormat="1" ht="27.75" customHeight="1" x14ac:dyDescent="0.2">
      <c r="A229" s="1182" t="str">
        <f>'[1]3.LRA'!C28</f>
        <v>Transfer Pemerintah Profinsi</v>
      </c>
      <c r="B229" s="1183"/>
      <c r="C229" s="1184"/>
      <c r="D229" s="1185">
        <f>'[1]3.LRA'!D28</f>
        <v>0</v>
      </c>
      <c r="E229" s="1186"/>
      <c r="F229" s="1186"/>
      <c r="G229" s="1186"/>
      <c r="H229" s="1186"/>
      <c r="I229" s="1187"/>
      <c r="J229" s="1213">
        <f>'[1]3.LRA'!E28</f>
        <v>0</v>
      </c>
      <c r="K229" s="1214"/>
      <c r="L229" s="1214"/>
      <c r="M229" s="1214"/>
      <c r="N229" s="1215"/>
      <c r="O229" s="1159">
        <f>'[1]3.LRA'!I28</f>
        <v>0</v>
      </c>
      <c r="P229" s="1160"/>
      <c r="Q229" s="1160"/>
      <c r="R229" s="1160"/>
      <c r="S229" s="1161"/>
      <c r="T229" s="1133">
        <v>0</v>
      </c>
      <c r="U229" s="1134"/>
      <c r="V229" s="810" t="e">
        <f t="shared" si="6"/>
        <v>#DIV/0!</v>
      </c>
      <c r="W229" s="901"/>
      <c r="X229" s="901"/>
      <c r="Y229" s="471">
        <f t="shared" si="4"/>
        <v>0</v>
      </c>
      <c r="Z229" s="472"/>
      <c r="AA229" s="472"/>
      <c r="AB229" s="472"/>
      <c r="AC229" s="1088">
        <f t="shared" si="5"/>
        <v>0</v>
      </c>
      <c r="AD229" s="1089"/>
      <c r="AE229" s="1089"/>
      <c r="AF229" s="1089"/>
    </row>
    <row r="230" spans="1:38" s="16" customFormat="1" ht="29.25" customHeight="1" x14ac:dyDescent="0.2">
      <c r="A230" s="1216" t="s">
        <v>204</v>
      </c>
      <c r="B230" s="1217"/>
      <c r="C230" s="1218"/>
      <c r="D230" s="1185">
        <f>SUM(D231:J233)</f>
        <v>0</v>
      </c>
      <c r="E230" s="1186"/>
      <c r="F230" s="1186"/>
      <c r="G230" s="1186"/>
      <c r="H230" s="1186"/>
      <c r="I230" s="1187"/>
      <c r="J230" s="1213">
        <f>SUM(J231:O233)</f>
        <v>0</v>
      </c>
      <c r="K230" s="1214"/>
      <c r="L230" s="1214"/>
      <c r="M230" s="1214"/>
      <c r="N230" s="1215"/>
      <c r="O230" s="1159">
        <f>SUM(O231:S233)</f>
        <v>0</v>
      </c>
      <c r="P230" s="1160"/>
      <c r="Q230" s="1160"/>
      <c r="R230" s="1160"/>
      <c r="S230" s="1161"/>
      <c r="T230" s="1133">
        <v>0</v>
      </c>
      <c r="U230" s="1134"/>
      <c r="V230" s="810" t="e">
        <f t="shared" si="6"/>
        <v>#DIV/0!</v>
      </c>
      <c r="W230" s="901"/>
      <c r="X230" s="901"/>
      <c r="Y230" s="471">
        <f t="shared" si="4"/>
        <v>0</v>
      </c>
      <c r="Z230" s="472"/>
      <c r="AA230" s="472"/>
      <c r="AB230" s="472"/>
      <c r="AC230" s="1088">
        <f t="shared" si="5"/>
        <v>0</v>
      </c>
      <c r="AD230" s="1089"/>
      <c r="AE230" s="1089"/>
      <c r="AF230" s="1089"/>
    </row>
    <row r="231" spans="1:38" s="16" customFormat="1" ht="18" customHeight="1" x14ac:dyDescent="0.2">
      <c r="A231" s="1182" t="str">
        <f>'[1]3.LRA'!C30</f>
        <v>Pendapatan Hibah</v>
      </c>
      <c r="B231" s="1183"/>
      <c r="C231" s="1184"/>
      <c r="D231" s="1185">
        <f>'[1]3.LRA'!D30</f>
        <v>0</v>
      </c>
      <c r="E231" s="1186"/>
      <c r="F231" s="1186"/>
      <c r="G231" s="1186"/>
      <c r="H231" s="1186"/>
      <c r="I231" s="1187"/>
      <c r="J231" s="1213">
        <f>'[1]3.LRA'!E30</f>
        <v>0</v>
      </c>
      <c r="K231" s="1214"/>
      <c r="L231" s="1214"/>
      <c r="M231" s="1214"/>
      <c r="N231" s="1215"/>
      <c r="O231" s="1159">
        <f>'[1]3.LRA'!I30</f>
        <v>0</v>
      </c>
      <c r="P231" s="1160"/>
      <c r="Q231" s="1160"/>
      <c r="R231" s="1160"/>
      <c r="S231" s="1161"/>
      <c r="T231" s="1133">
        <v>0</v>
      </c>
      <c r="U231" s="1134"/>
      <c r="V231" s="810" t="e">
        <f t="shared" si="6"/>
        <v>#DIV/0!</v>
      </c>
      <c r="W231" s="901"/>
      <c r="X231" s="901"/>
      <c r="Y231" s="471">
        <f t="shared" si="4"/>
        <v>0</v>
      </c>
      <c r="Z231" s="472"/>
      <c r="AA231" s="472"/>
      <c r="AB231" s="472"/>
      <c r="AC231" s="1088">
        <f t="shared" si="5"/>
        <v>0</v>
      </c>
      <c r="AD231" s="1089"/>
      <c r="AE231" s="1089"/>
      <c r="AF231" s="1089"/>
    </row>
    <row r="232" spans="1:38" s="16" customFormat="1" ht="29.25" customHeight="1" x14ac:dyDescent="0.2">
      <c r="A232" s="1182" t="str">
        <f>'[1]3.LRA'!C31</f>
        <v>Pendapatan Dana darurat</v>
      </c>
      <c r="B232" s="1183"/>
      <c r="C232" s="1184"/>
      <c r="D232" s="1185">
        <f>'[1]3.LRA'!D31</f>
        <v>0</v>
      </c>
      <c r="E232" s="1186"/>
      <c r="F232" s="1186"/>
      <c r="G232" s="1186"/>
      <c r="H232" s="1186"/>
      <c r="I232" s="1187"/>
      <c r="J232" s="1213">
        <f>'[1]3.LRA'!E31</f>
        <v>0</v>
      </c>
      <c r="K232" s="1214"/>
      <c r="L232" s="1214"/>
      <c r="M232" s="1214"/>
      <c r="N232" s="1215"/>
      <c r="O232" s="1159">
        <f>'[1]3.LRA'!I31</f>
        <v>0</v>
      </c>
      <c r="P232" s="1160"/>
      <c r="Q232" s="1160"/>
      <c r="R232" s="1160"/>
      <c r="S232" s="1161"/>
      <c r="T232" s="1133">
        <v>0</v>
      </c>
      <c r="U232" s="1134"/>
      <c r="V232" s="810" t="e">
        <f t="shared" si="6"/>
        <v>#DIV/0!</v>
      </c>
      <c r="W232" s="901"/>
      <c r="X232" s="901"/>
      <c r="Y232" s="471">
        <f t="shared" si="4"/>
        <v>0</v>
      </c>
      <c r="Z232" s="472"/>
      <c r="AA232" s="472"/>
      <c r="AB232" s="472"/>
      <c r="AC232" s="1088">
        <f t="shared" si="5"/>
        <v>0</v>
      </c>
      <c r="AD232" s="1089"/>
      <c r="AE232" s="1089"/>
      <c r="AF232" s="1089"/>
    </row>
    <row r="233" spans="1:38" s="16" customFormat="1" ht="21" customHeight="1" x14ac:dyDescent="0.2">
      <c r="A233" s="1182" t="str">
        <f>'[1]3.LRA'!C32</f>
        <v>Pendapatan Lainnya</v>
      </c>
      <c r="B233" s="1183"/>
      <c r="C233" s="1184"/>
      <c r="D233" s="1185">
        <f>'[1]3.LRA'!D32</f>
        <v>0</v>
      </c>
      <c r="E233" s="1186"/>
      <c r="F233" s="1186"/>
      <c r="G233" s="1186"/>
      <c r="H233" s="1186"/>
      <c r="I233" s="1187"/>
      <c r="J233" s="1213">
        <f>'[1]3.LRA'!E32</f>
        <v>0</v>
      </c>
      <c r="K233" s="1214"/>
      <c r="L233" s="1214"/>
      <c r="M233" s="1214"/>
      <c r="N233" s="1215"/>
      <c r="O233" s="1159">
        <f>'[1]3.LRA'!I32</f>
        <v>0</v>
      </c>
      <c r="P233" s="1160"/>
      <c r="Q233" s="1160"/>
      <c r="R233" s="1160"/>
      <c r="S233" s="1161"/>
      <c r="T233" s="1133">
        <v>0</v>
      </c>
      <c r="U233" s="1134"/>
      <c r="V233" s="810" t="e">
        <f t="shared" si="6"/>
        <v>#DIV/0!</v>
      </c>
      <c r="W233" s="901"/>
      <c r="X233" s="901"/>
      <c r="Y233" s="471">
        <f t="shared" si="4"/>
        <v>0</v>
      </c>
      <c r="Z233" s="472"/>
      <c r="AA233" s="472"/>
      <c r="AB233" s="472"/>
      <c r="AC233" s="1088">
        <f t="shared" si="5"/>
        <v>0</v>
      </c>
      <c r="AD233" s="1089"/>
      <c r="AE233" s="1089"/>
      <c r="AF233" s="1089"/>
    </row>
    <row r="234" spans="1:38" s="16" customFormat="1" ht="18.75" customHeight="1" x14ac:dyDescent="0.2">
      <c r="A234" s="966" t="s">
        <v>205</v>
      </c>
      <c r="B234" s="967"/>
      <c r="C234" s="968"/>
      <c r="D234" s="1197">
        <f>D230+D226+D221</f>
        <v>3828929</v>
      </c>
      <c r="E234" s="1198"/>
      <c r="F234" s="1198"/>
      <c r="G234" s="1198"/>
      <c r="H234" s="1198"/>
      <c r="I234" s="1199"/>
      <c r="J234" s="1197">
        <f>J230+J226+J221</f>
        <v>12984000</v>
      </c>
      <c r="K234" s="1198"/>
      <c r="L234" s="1198"/>
      <c r="M234" s="1198"/>
      <c r="N234" s="1199"/>
      <c r="O234" s="1197">
        <v>0</v>
      </c>
      <c r="P234" s="1198"/>
      <c r="Q234" s="1198"/>
      <c r="R234" s="1198"/>
      <c r="S234" s="1199"/>
      <c r="T234" s="1138">
        <v>100</v>
      </c>
      <c r="U234" s="1139"/>
      <c r="V234" s="810">
        <f t="shared" si="6"/>
        <v>339.10265768835097</v>
      </c>
      <c r="W234" s="901"/>
      <c r="X234" s="901"/>
      <c r="Y234" s="471">
        <f t="shared" si="4"/>
        <v>-9155071</v>
      </c>
      <c r="Z234" s="472"/>
      <c r="AA234" s="472"/>
      <c r="AB234" s="472"/>
      <c r="AC234" s="1088">
        <f t="shared" si="5"/>
        <v>12984000</v>
      </c>
      <c r="AD234" s="1089"/>
      <c r="AE234" s="1089"/>
      <c r="AF234" s="1089"/>
    </row>
    <row r="235" spans="1:38" s="16" customFormat="1" ht="18.75" customHeight="1" x14ac:dyDescent="0.2">
      <c r="A235" s="14"/>
      <c r="B235" s="23"/>
      <c r="C235" s="23"/>
      <c r="D235" s="76"/>
      <c r="E235" s="77"/>
      <c r="F235" s="77"/>
      <c r="G235" s="77"/>
      <c r="H235" s="77"/>
      <c r="I235" s="77"/>
      <c r="J235" s="77"/>
      <c r="K235" s="77"/>
      <c r="L235" s="77"/>
      <c r="M235" s="77"/>
      <c r="N235" s="77"/>
      <c r="O235" s="77"/>
      <c r="P235" s="77"/>
      <c r="Q235" s="77"/>
      <c r="R235" s="77"/>
      <c r="S235" s="77"/>
      <c r="T235" s="37"/>
      <c r="U235" s="37"/>
      <c r="V235" s="23"/>
    </row>
    <row r="236" spans="1:38" s="16" customFormat="1" ht="38.25" customHeight="1" x14ac:dyDescent="0.2">
      <c r="A236" s="14"/>
      <c r="C236" s="407" t="str">
        <f>"Realisasi Pendapatan  TA "&amp;'[1]2.ISIAN DATA SKPD'!D11&amp;" mengalami kenaikan sebesar "&amp;FIXED(T234)&amp;"% dibandingkan TA "&amp;'[1]2.ISIAN DATA SKPD'!D12&amp;" atau sebesar Rp. "&amp;FIXED(AC234)&amp;""</f>
        <v>Realisasi Pendapatan  TA 2018 mengalami kenaikan sebesar 100,00% dibandingkan TA 2017 atau sebesar Rp. 12.984.000,00</v>
      </c>
      <c r="D236" s="407"/>
      <c r="E236" s="407"/>
      <c r="F236" s="407"/>
      <c r="G236" s="407"/>
      <c r="H236" s="407"/>
      <c r="I236" s="407"/>
      <c r="J236" s="407"/>
      <c r="K236" s="407"/>
      <c r="L236" s="407"/>
      <c r="M236" s="407"/>
      <c r="N236" s="407"/>
      <c r="O236" s="407"/>
      <c r="P236" s="407"/>
      <c r="Q236" s="407"/>
      <c r="R236" s="407"/>
      <c r="S236" s="407"/>
      <c r="T236" s="407"/>
      <c r="U236" s="407"/>
      <c r="V236" s="23"/>
    </row>
    <row r="237" spans="1:38" s="16" customFormat="1" ht="34.5" customHeight="1" x14ac:dyDescent="0.2">
      <c r="A237" s="14"/>
      <c r="C237" s="407" t="s">
        <v>206</v>
      </c>
      <c r="D237" s="407"/>
      <c r="E237" s="407"/>
      <c r="F237" s="407"/>
      <c r="G237" s="407"/>
      <c r="H237" s="407"/>
      <c r="I237" s="407"/>
      <c r="J237" s="407"/>
      <c r="K237" s="407"/>
      <c r="L237" s="407"/>
      <c r="M237" s="407"/>
      <c r="N237" s="407"/>
      <c r="O237" s="407"/>
      <c r="P237" s="407"/>
      <c r="Q237" s="407"/>
      <c r="R237" s="407"/>
      <c r="S237" s="407"/>
      <c r="T237" s="407"/>
      <c r="U237" s="407"/>
      <c r="V237" s="23"/>
    </row>
    <row r="238" spans="1:38" s="16" customFormat="1" ht="16.5" customHeight="1" x14ac:dyDescent="0.2">
      <c r="A238" s="14"/>
      <c r="B238" s="77"/>
      <c r="C238" s="77"/>
      <c r="D238" s="77"/>
      <c r="E238" s="77"/>
      <c r="F238" s="77"/>
      <c r="G238" s="77"/>
      <c r="H238" s="77"/>
      <c r="I238" s="77"/>
      <c r="J238" s="77"/>
      <c r="K238" s="77"/>
      <c r="L238" s="77"/>
      <c r="M238" s="77"/>
      <c r="N238" s="77"/>
      <c r="O238" s="77"/>
      <c r="P238" s="77"/>
      <c r="Q238" s="77"/>
      <c r="R238" s="77"/>
      <c r="S238" s="77"/>
      <c r="T238" s="37"/>
      <c r="U238" s="37"/>
      <c r="V238" s="23"/>
    </row>
    <row r="239" spans="1:38" s="16" customFormat="1" ht="18" customHeight="1" x14ac:dyDescent="0.2">
      <c r="A239" s="14"/>
      <c r="C239" s="78" t="s">
        <v>160</v>
      </c>
      <c r="D239" s="534" t="s">
        <v>198</v>
      </c>
      <c r="E239" s="534"/>
      <c r="F239" s="534"/>
      <c r="G239" s="534"/>
      <c r="H239" s="534"/>
      <c r="I239" s="534"/>
      <c r="J239" s="534"/>
      <c r="K239" s="534"/>
      <c r="L239" s="534"/>
      <c r="M239" s="534"/>
      <c r="N239" s="534"/>
      <c r="O239" s="534"/>
      <c r="P239" s="534"/>
      <c r="Q239" s="534"/>
      <c r="R239" s="534"/>
      <c r="S239" s="534"/>
      <c r="T239" s="534"/>
      <c r="U239" s="534"/>
      <c r="V239" s="23"/>
    </row>
    <row r="240" spans="1:38" s="16" customFormat="1" ht="60.75" customHeight="1" x14ac:dyDescent="0.2">
      <c r="A240" s="14"/>
      <c r="B240" s="78"/>
      <c r="D240" s="407" t="str">
        <f>"Realisasi Pendapatan Asli Daerah TA "&amp;'[1]2.ISIAN DATA SKPD'!D11&amp;" adalah sebesar Rp. "&amp;FIXED(J250) &amp;" atau mencapai  "&amp;FIXED(V221)&amp;"% dari estimasi pendapatan yang ditetapkan sebesar Rp. "&amp;FIXED(Y221)&amp;" kurang dari anggaran sebesar Rp. "&amp;FIXED(Y221)&amp;"."</f>
        <v>Realisasi Pendapatan Asli Daerah TA 2018 adalah sebesar Rp. 12.984.000,00 atau mencapai  339,10% dari estimasi pendapatan yang ditetapkan sebesar Rp. -9.155.071,00 kurang dari anggaran sebesar Rp. -9.155.071,00.</v>
      </c>
      <c r="E240" s="407"/>
      <c r="F240" s="407"/>
      <c r="G240" s="407"/>
      <c r="H240" s="407"/>
      <c r="I240" s="407"/>
      <c r="J240" s="407"/>
      <c r="K240" s="407"/>
      <c r="L240" s="407"/>
      <c r="M240" s="407"/>
      <c r="N240" s="407"/>
      <c r="O240" s="407"/>
      <c r="P240" s="407"/>
      <c r="Q240" s="407"/>
      <c r="R240" s="407"/>
      <c r="S240" s="407"/>
      <c r="T240" s="407"/>
      <c r="U240" s="407"/>
      <c r="V240" s="407"/>
      <c r="W240" s="407"/>
      <c r="X240" s="407"/>
      <c r="Y240" s="407"/>
      <c r="Z240" s="407"/>
      <c r="AA240" s="407"/>
      <c r="AB240" s="407"/>
      <c r="AC240" s="407"/>
      <c r="AD240" s="407"/>
      <c r="AE240" s="407"/>
      <c r="AF240" s="407"/>
      <c r="AG240" s="407"/>
      <c r="AH240" s="407"/>
      <c r="AI240" s="407"/>
      <c r="AJ240" s="407"/>
      <c r="AK240" s="407"/>
      <c r="AL240" s="407"/>
    </row>
    <row r="241" spans="1:38" s="16" customFormat="1" ht="33" customHeight="1" x14ac:dyDescent="0.2">
      <c r="A241" s="14"/>
      <c r="B241" s="78"/>
      <c r="D241" s="407" t="s">
        <v>207</v>
      </c>
      <c r="E241" s="407"/>
      <c r="F241" s="407"/>
      <c r="G241" s="407"/>
      <c r="H241" s="407"/>
      <c r="I241" s="407"/>
      <c r="J241" s="407"/>
      <c r="K241" s="407"/>
      <c r="L241" s="407"/>
      <c r="M241" s="407"/>
      <c r="N241" s="407"/>
      <c r="O241" s="407"/>
      <c r="P241" s="407"/>
      <c r="Q241" s="407"/>
      <c r="R241" s="407"/>
      <c r="S241" s="407"/>
      <c r="T241" s="407"/>
      <c r="U241" s="407"/>
      <c r="V241" s="23"/>
    </row>
    <row r="242" spans="1:38" s="16" customFormat="1" ht="18" customHeight="1" x14ac:dyDescent="0.2">
      <c r="A242" s="14"/>
      <c r="B242" s="78"/>
      <c r="D242" s="77"/>
      <c r="E242" s="77"/>
      <c r="F242" s="77"/>
      <c r="G242" s="77"/>
      <c r="H242" s="77"/>
      <c r="I242" s="77"/>
      <c r="J242" s="77"/>
      <c r="K242" s="77"/>
      <c r="L242" s="77"/>
      <c r="M242" s="77"/>
      <c r="N242" s="77"/>
      <c r="O242" s="77"/>
      <c r="P242" s="77"/>
      <c r="Q242" s="77"/>
      <c r="R242" s="77"/>
      <c r="S242" s="77"/>
      <c r="T242" s="77"/>
      <c r="U242" s="77"/>
      <c r="V242" s="23"/>
    </row>
    <row r="243" spans="1:38" s="16" customFormat="1" ht="15" customHeight="1" x14ac:dyDescent="0.2">
      <c r="A243" s="1165" t="s">
        <v>125</v>
      </c>
      <c r="B243" s="1166"/>
      <c r="C243" s="1167"/>
      <c r="D243" s="1143">
        <f>D219</f>
        <v>2018</v>
      </c>
      <c r="E243" s="1144"/>
      <c r="F243" s="1144"/>
      <c r="G243" s="1144"/>
      <c r="H243" s="1144"/>
      <c r="I243" s="1144"/>
      <c r="J243" s="1144"/>
      <c r="K243" s="1144"/>
      <c r="L243" s="1144"/>
      <c r="M243" s="1144"/>
      <c r="N243" s="1145"/>
      <c r="O243" s="1020">
        <f>'[1]2.ISIAN DATA SKPD'!D12</f>
        <v>2017</v>
      </c>
      <c r="P243" s="1021"/>
      <c r="Q243" s="1021"/>
      <c r="R243" s="1021"/>
      <c r="S243" s="1022"/>
      <c r="T243" s="1209" t="s">
        <v>191</v>
      </c>
      <c r="U243" s="1210"/>
      <c r="V243" s="23"/>
    </row>
    <row r="244" spans="1:38" s="16" customFormat="1" ht="15" customHeight="1" x14ac:dyDescent="0.2">
      <c r="A244" s="1168"/>
      <c r="B244" s="1169"/>
      <c r="C244" s="1170"/>
      <c r="D244" s="1143" t="s">
        <v>192</v>
      </c>
      <c r="E244" s="1144"/>
      <c r="F244" s="1144"/>
      <c r="G244" s="1144"/>
      <c r="H244" s="1144"/>
      <c r="I244" s="1145"/>
      <c r="J244" s="1020" t="s">
        <v>193</v>
      </c>
      <c r="K244" s="1021"/>
      <c r="L244" s="1021"/>
      <c r="M244" s="1021"/>
      <c r="N244" s="1022"/>
      <c r="O244" s="1020" t="s">
        <v>193</v>
      </c>
      <c r="P244" s="1021"/>
      <c r="Q244" s="1021"/>
      <c r="R244" s="1021"/>
      <c r="S244" s="1022"/>
      <c r="T244" s="1211"/>
      <c r="U244" s="1212"/>
      <c r="V244" s="23"/>
    </row>
    <row r="245" spans="1:38" s="16" customFormat="1" ht="18.75" customHeight="1" x14ac:dyDescent="0.2">
      <c r="A245" s="1206" t="s">
        <v>199</v>
      </c>
      <c r="B245" s="1207"/>
      <c r="C245" s="1208"/>
      <c r="D245" s="1185">
        <f>'[1]3.LRA'!D20</f>
        <v>0</v>
      </c>
      <c r="E245" s="1186"/>
      <c r="F245" s="1186"/>
      <c r="G245" s="1186"/>
      <c r="H245" s="1186"/>
      <c r="I245" s="1187"/>
      <c r="J245" s="1188">
        <f>'[1]3.LRA'!E20</f>
        <v>0</v>
      </c>
      <c r="K245" s="1189"/>
      <c r="L245" s="1189"/>
      <c r="M245" s="1189"/>
      <c r="N245" s="1190"/>
      <c r="O245" s="1191">
        <f>'[1]3.LRA'!I20</f>
        <v>0</v>
      </c>
      <c r="P245" s="1192"/>
      <c r="Q245" s="1192"/>
      <c r="R245" s="1192"/>
      <c r="S245" s="1193"/>
      <c r="T245" s="1133"/>
      <c r="U245" s="1134"/>
      <c r="V245" s="23"/>
    </row>
    <row r="246" spans="1:38" s="16" customFormat="1" ht="18.75" customHeight="1" x14ac:dyDescent="0.2">
      <c r="A246" s="1206" t="s">
        <v>200</v>
      </c>
      <c r="B246" s="1207"/>
      <c r="C246" s="1208"/>
      <c r="D246" s="1185">
        <f>'[1]3.LRA'!D21</f>
        <v>3828929</v>
      </c>
      <c r="E246" s="1186"/>
      <c r="F246" s="1186"/>
      <c r="G246" s="1186"/>
      <c r="H246" s="1186"/>
      <c r="I246" s="1187"/>
      <c r="J246" s="1188">
        <f>'[1]3.LRA'!E21</f>
        <v>12984000</v>
      </c>
      <c r="K246" s="1189"/>
      <c r="L246" s="1189"/>
      <c r="M246" s="1189"/>
      <c r="N246" s="1190"/>
      <c r="O246" s="1191">
        <v>0</v>
      </c>
      <c r="P246" s="1192"/>
      <c r="Q246" s="1192"/>
      <c r="R246" s="1192"/>
      <c r="S246" s="1193"/>
      <c r="T246" s="1133">
        <v>100</v>
      </c>
      <c r="U246" s="1134"/>
      <c r="V246" s="23"/>
    </row>
    <row r="247" spans="1:38" s="16" customFormat="1" ht="41.25" customHeight="1" x14ac:dyDescent="0.2">
      <c r="A247" s="1182" t="s">
        <v>201</v>
      </c>
      <c r="B247" s="1183"/>
      <c r="C247" s="1184"/>
      <c r="D247" s="1185">
        <f>'[1]3.LRA'!D22</f>
        <v>0</v>
      </c>
      <c r="E247" s="1186"/>
      <c r="F247" s="1186"/>
      <c r="G247" s="1186"/>
      <c r="H247" s="1186"/>
      <c r="I247" s="1187"/>
      <c r="J247" s="1188">
        <f>'[1]3.LRA'!E22</f>
        <v>0</v>
      </c>
      <c r="K247" s="1189"/>
      <c r="L247" s="1189"/>
      <c r="M247" s="1189"/>
      <c r="N247" s="1190"/>
      <c r="O247" s="1191">
        <f>'[1]3.LRA'!I22</f>
        <v>0</v>
      </c>
      <c r="P247" s="1192"/>
      <c r="Q247" s="1192"/>
      <c r="R247" s="1192"/>
      <c r="S247" s="1193"/>
      <c r="T247" s="1133">
        <v>0</v>
      </c>
      <c r="U247" s="1134"/>
      <c r="V247" s="23"/>
    </row>
    <row r="248" spans="1:38" s="16" customFormat="1" ht="18.75" customHeight="1" x14ac:dyDescent="0.2">
      <c r="A248" s="1182" t="s">
        <v>202</v>
      </c>
      <c r="B248" s="1183"/>
      <c r="C248" s="1184"/>
      <c r="D248" s="1185">
        <f>D249</f>
        <v>0</v>
      </c>
      <c r="E248" s="1186"/>
      <c r="F248" s="1186"/>
      <c r="G248" s="1186"/>
      <c r="H248" s="1186"/>
      <c r="I248" s="1187"/>
      <c r="J248" s="1203">
        <f>J249</f>
        <v>0</v>
      </c>
      <c r="K248" s="1204"/>
      <c r="L248" s="1204"/>
      <c r="M248" s="1204"/>
      <c r="N248" s="1205"/>
      <c r="O248" s="1191">
        <f>O249</f>
        <v>0</v>
      </c>
      <c r="P248" s="1192"/>
      <c r="Q248" s="1192"/>
      <c r="R248" s="1192"/>
      <c r="S248" s="1193"/>
      <c r="T248" s="1133">
        <v>0</v>
      </c>
      <c r="U248" s="1134"/>
      <c r="V248" s="23"/>
    </row>
    <row r="249" spans="1:38" s="16" customFormat="1" ht="18.75" customHeight="1" x14ac:dyDescent="0.2">
      <c r="A249" s="1182" t="s">
        <v>208</v>
      </c>
      <c r="B249" s="1183"/>
      <c r="C249" s="1184"/>
      <c r="D249" s="1185">
        <f>'[1]3.LRA'!D24</f>
        <v>0</v>
      </c>
      <c r="E249" s="1186"/>
      <c r="F249" s="1186"/>
      <c r="G249" s="1186"/>
      <c r="H249" s="1186"/>
      <c r="I249" s="1187"/>
      <c r="J249" s="1188">
        <f>'[1]3.LRA'!E24</f>
        <v>0</v>
      </c>
      <c r="K249" s="1189"/>
      <c r="L249" s="1189"/>
      <c r="M249" s="1189"/>
      <c r="N249" s="1190"/>
      <c r="O249" s="1191">
        <f>'[1]3.LRA'!I24</f>
        <v>0</v>
      </c>
      <c r="P249" s="1192"/>
      <c r="Q249" s="1192"/>
      <c r="R249" s="1192"/>
      <c r="S249" s="1193"/>
      <c r="T249" s="1133">
        <v>0</v>
      </c>
      <c r="U249" s="1134"/>
      <c r="V249" s="23"/>
    </row>
    <row r="250" spans="1:38" s="16" customFormat="1" ht="30" customHeight="1" x14ac:dyDescent="0.2">
      <c r="A250" s="966" t="s">
        <v>205</v>
      </c>
      <c r="B250" s="967"/>
      <c r="C250" s="968"/>
      <c r="D250" s="1194">
        <f>SUM(D245:I248)</f>
        <v>3828929</v>
      </c>
      <c r="E250" s="1195"/>
      <c r="F250" s="1195"/>
      <c r="G250" s="1195"/>
      <c r="H250" s="1195"/>
      <c r="I250" s="1196"/>
      <c r="J250" s="1197">
        <f>SUM(J245:N248)</f>
        <v>12984000</v>
      </c>
      <c r="K250" s="1198"/>
      <c r="L250" s="1198"/>
      <c r="M250" s="1198"/>
      <c r="N250" s="1199"/>
      <c r="O250" s="1200">
        <f>SUM(O245:S248)</f>
        <v>0</v>
      </c>
      <c r="P250" s="1201"/>
      <c r="Q250" s="1201"/>
      <c r="R250" s="1201"/>
      <c r="S250" s="1202"/>
      <c r="T250" s="1138">
        <v>100</v>
      </c>
      <c r="U250" s="1139"/>
      <c r="V250" s="23"/>
    </row>
    <row r="251" spans="1:38" s="16" customFormat="1" ht="15.75" customHeight="1" x14ac:dyDescent="0.2">
      <c r="A251" s="14"/>
      <c r="B251" s="78"/>
      <c r="D251" s="77"/>
      <c r="E251" s="77"/>
      <c r="F251" s="77"/>
      <c r="G251" s="77"/>
      <c r="H251" s="77"/>
      <c r="I251" s="77"/>
      <c r="J251" s="77"/>
      <c r="K251" s="77"/>
      <c r="L251" s="77"/>
      <c r="M251" s="77"/>
      <c r="N251" s="77"/>
      <c r="O251" s="77"/>
      <c r="P251" s="77"/>
      <c r="Q251" s="77"/>
      <c r="R251" s="77"/>
      <c r="S251" s="77"/>
      <c r="T251" s="77"/>
      <c r="U251" s="77"/>
      <c r="V251" s="23"/>
    </row>
    <row r="252" spans="1:38" s="16" customFormat="1" ht="50.25" customHeight="1" x14ac:dyDescent="0.2">
      <c r="A252" s="14"/>
      <c r="D252" s="407" t="str">
        <f>"Realisasi Pendapatan Asli Daerah TA "&amp;'[1]2.ISIAN DATA SKPD'!D11&amp;" sebesar Rp. "&amp;FIXED(J250)&amp;" mengalami kenaikan sebesar "&amp;FIXED(T250)&amp;" % bila dibandingkan tahun anggaran "&amp;'[1]2.ISIAN DATA SKPD'!D12&amp;"."</f>
        <v>Realisasi Pendapatan Asli Daerah TA 2018 sebesar Rp. 12.984.000,00 mengalami kenaikan sebesar 100,00 % bila dibandingkan tahun anggaran 2017.</v>
      </c>
      <c r="E252" s="407"/>
      <c r="F252" s="407"/>
      <c r="G252" s="407"/>
      <c r="H252" s="407"/>
      <c r="I252" s="407"/>
      <c r="J252" s="407"/>
      <c r="K252" s="407"/>
      <c r="L252" s="407"/>
      <c r="M252" s="407"/>
      <c r="N252" s="407"/>
      <c r="O252" s="407"/>
      <c r="P252" s="407"/>
      <c r="Q252" s="407"/>
      <c r="R252" s="407"/>
      <c r="S252" s="407"/>
      <c r="T252" s="407"/>
      <c r="U252" s="407"/>
      <c r="V252" s="1179"/>
      <c r="W252" s="1179"/>
      <c r="X252" s="1179"/>
      <c r="Y252" s="1179"/>
      <c r="Z252" s="1179"/>
      <c r="AA252" s="1179"/>
      <c r="AB252" s="1179"/>
      <c r="AC252" s="1179"/>
      <c r="AD252" s="1179"/>
      <c r="AE252" s="1179"/>
      <c r="AF252" s="1179"/>
      <c r="AG252" s="1179"/>
      <c r="AH252" s="1179"/>
      <c r="AI252" s="1179"/>
      <c r="AJ252" s="1179"/>
      <c r="AK252" s="1179"/>
      <c r="AL252" s="1179"/>
    </row>
    <row r="253" spans="1:38" s="16" customFormat="1" ht="11.25" customHeight="1" x14ac:dyDescent="0.2">
      <c r="A253" s="14"/>
      <c r="D253" s="77"/>
      <c r="E253" s="77"/>
      <c r="F253" s="77"/>
      <c r="G253" s="77"/>
      <c r="H253" s="77"/>
      <c r="I253" s="77"/>
      <c r="J253" s="77"/>
      <c r="K253" s="77"/>
      <c r="L253" s="77"/>
      <c r="M253" s="77"/>
      <c r="N253" s="77"/>
      <c r="O253" s="77"/>
      <c r="P253" s="77"/>
      <c r="Q253" s="77"/>
      <c r="R253" s="77"/>
      <c r="S253" s="77"/>
      <c r="T253" s="77"/>
      <c r="U253" s="77"/>
      <c r="V253" s="56"/>
      <c r="W253" s="56"/>
      <c r="X253" s="56"/>
      <c r="Y253" s="56"/>
      <c r="Z253" s="56"/>
      <c r="AA253" s="56"/>
      <c r="AB253" s="56"/>
      <c r="AC253" s="56"/>
      <c r="AD253" s="56"/>
      <c r="AE253" s="56"/>
      <c r="AF253" s="56"/>
      <c r="AG253" s="56"/>
      <c r="AH253" s="56"/>
      <c r="AI253" s="56"/>
      <c r="AJ253" s="56"/>
      <c r="AK253" s="56"/>
      <c r="AL253" s="56"/>
    </row>
    <row r="254" spans="1:38" s="16" customFormat="1" ht="18.75" customHeight="1" x14ac:dyDescent="0.2">
      <c r="A254" s="14"/>
      <c r="D254" s="56" t="s">
        <v>47</v>
      </c>
      <c r="E254" s="1179" t="s">
        <v>199</v>
      </c>
      <c r="F254" s="1179"/>
      <c r="G254" s="1179"/>
      <c r="H254" s="1179"/>
      <c r="I254" s="1179"/>
      <c r="J254" s="1179"/>
      <c r="K254" s="1179"/>
      <c r="L254" s="1179"/>
      <c r="M254" s="1179"/>
      <c r="N254" s="1179"/>
      <c r="O254" s="1179"/>
      <c r="P254" s="1179"/>
      <c r="Q254" s="1179"/>
      <c r="R254" s="1179"/>
      <c r="S254" s="1179"/>
      <c r="T254" s="1179"/>
      <c r="U254" s="1179"/>
      <c r="V254" s="23"/>
    </row>
    <row r="255" spans="1:38" s="16" customFormat="1" ht="33" customHeight="1" x14ac:dyDescent="0.2">
      <c r="A255" s="14"/>
      <c r="D255" s="56"/>
      <c r="E255" s="407" t="str">
        <f>"Realisasi Pajak Daerah TA "&amp;'[1]2.ISIAN DATA SKPD'!E26&amp;" adalah sebesar Rp. "&amp;FIXED(P268) &amp;", adapun rincian Pajak Daerah sebagai berikut :"</f>
        <v>Realisasi Pajak Daerah TA  adalah sebesar Rp. 0,00, adapun rincian Pajak Daerah sebagai berikut :</v>
      </c>
      <c r="F255" s="407"/>
      <c r="G255" s="407"/>
      <c r="H255" s="407"/>
      <c r="I255" s="407"/>
      <c r="J255" s="407"/>
      <c r="K255" s="407"/>
      <c r="L255" s="407"/>
      <c r="M255" s="407"/>
      <c r="N255" s="407"/>
      <c r="O255" s="407"/>
      <c r="P255" s="407"/>
      <c r="Q255" s="407"/>
      <c r="R255" s="407"/>
      <c r="S255" s="407"/>
      <c r="T255" s="407"/>
      <c r="U255" s="407"/>
      <c r="V255" s="29"/>
    </row>
    <row r="256" spans="1:38" s="16" customFormat="1" ht="12" customHeight="1" x14ac:dyDescent="0.2">
      <c r="A256" s="14"/>
      <c r="D256" s="56"/>
      <c r="E256" s="77"/>
      <c r="F256" s="77"/>
      <c r="G256" s="77"/>
      <c r="H256" s="77"/>
      <c r="I256" s="77"/>
      <c r="J256" s="77"/>
      <c r="K256" s="77"/>
      <c r="L256" s="77"/>
      <c r="M256" s="77"/>
      <c r="N256" s="77"/>
      <c r="O256" s="77"/>
      <c r="P256" s="77"/>
      <c r="Q256" s="77"/>
      <c r="R256" s="77"/>
      <c r="S256" s="77"/>
      <c r="T256" s="77"/>
      <c r="U256" s="77"/>
      <c r="V256" s="29"/>
    </row>
    <row r="257" spans="1:22" s="16" customFormat="1" ht="19.5" customHeight="1" x14ac:dyDescent="0.2">
      <c r="A257" s="14"/>
      <c r="E257" s="544" t="s">
        <v>209</v>
      </c>
      <c r="F257" s="544"/>
      <c r="G257" s="544" t="s">
        <v>199</v>
      </c>
      <c r="H257" s="544"/>
      <c r="I257" s="544"/>
      <c r="J257" s="544"/>
      <c r="K257" s="544"/>
      <c r="L257" s="544"/>
      <c r="M257" s="544"/>
      <c r="N257" s="544"/>
      <c r="O257" s="544"/>
      <c r="P257" s="1180" t="s">
        <v>193</v>
      </c>
      <c r="Q257" s="1180"/>
      <c r="R257" s="1180"/>
      <c r="S257" s="1180"/>
      <c r="T257" s="1180"/>
      <c r="U257" s="1180"/>
      <c r="V257" s="23"/>
    </row>
    <row r="258" spans="1:22" s="16" customFormat="1" ht="13.5" customHeight="1" x14ac:dyDescent="0.2">
      <c r="A258" s="14"/>
      <c r="E258" s="548">
        <v>1</v>
      </c>
      <c r="F258" s="548"/>
      <c r="G258" s="1177" t="s">
        <v>210</v>
      </c>
      <c r="H258" s="1177"/>
      <c r="I258" s="1177"/>
      <c r="J258" s="1177"/>
      <c r="K258" s="1177"/>
      <c r="L258" s="1177"/>
      <c r="M258" s="1177"/>
      <c r="N258" s="1177"/>
      <c r="O258" s="1177"/>
      <c r="P258" s="1178">
        <v>0</v>
      </c>
      <c r="Q258" s="1178"/>
      <c r="R258" s="1178"/>
      <c r="S258" s="1178"/>
      <c r="T258" s="1178"/>
      <c r="U258" s="1178"/>
      <c r="V258" s="23"/>
    </row>
    <row r="259" spans="1:22" s="16" customFormat="1" ht="13.5" customHeight="1" x14ac:dyDescent="0.2">
      <c r="A259" s="14"/>
      <c r="E259" s="548">
        <v>2</v>
      </c>
      <c r="F259" s="548"/>
      <c r="G259" s="1177" t="s">
        <v>211</v>
      </c>
      <c r="H259" s="1177"/>
      <c r="I259" s="1177"/>
      <c r="J259" s="1177"/>
      <c r="K259" s="1177"/>
      <c r="L259" s="1177"/>
      <c r="M259" s="1177"/>
      <c r="N259" s="1177"/>
      <c r="O259" s="1177"/>
      <c r="P259" s="1178">
        <v>0</v>
      </c>
      <c r="Q259" s="1178"/>
      <c r="R259" s="1178"/>
      <c r="S259" s="1178"/>
      <c r="T259" s="1178"/>
      <c r="U259" s="1178"/>
      <c r="V259" s="23"/>
    </row>
    <row r="260" spans="1:22" s="16" customFormat="1" ht="13.5" customHeight="1" x14ac:dyDescent="0.2">
      <c r="A260" s="14"/>
      <c r="E260" s="548">
        <v>3</v>
      </c>
      <c r="F260" s="548"/>
      <c r="G260" s="1177" t="s">
        <v>212</v>
      </c>
      <c r="H260" s="1177"/>
      <c r="I260" s="1177"/>
      <c r="J260" s="1177"/>
      <c r="K260" s="1177"/>
      <c r="L260" s="1177"/>
      <c r="M260" s="1177"/>
      <c r="N260" s="1177"/>
      <c r="O260" s="1177"/>
      <c r="P260" s="1178">
        <v>0</v>
      </c>
      <c r="Q260" s="1178"/>
      <c r="R260" s="1178"/>
      <c r="S260" s="1178"/>
      <c r="T260" s="1178"/>
      <c r="U260" s="1178"/>
      <c r="V260" s="23"/>
    </row>
    <row r="261" spans="1:22" s="16" customFormat="1" ht="13.5" customHeight="1" x14ac:dyDescent="0.2">
      <c r="A261" s="14"/>
      <c r="E261" s="548">
        <v>4</v>
      </c>
      <c r="F261" s="548"/>
      <c r="G261" s="1177" t="s">
        <v>213</v>
      </c>
      <c r="H261" s="1177"/>
      <c r="I261" s="1177"/>
      <c r="J261" s="1177"/>
      <c r="K261" s="1177"/>
      <c r="L261" s="1177"/>
      <c r="M261" s="1177"/>
      <c r="N261" s="1177"/>
      <c r="O261" s="1177"/>
      <c r="P261" s="1178">
        <v>0</v>
      </c>
      <c r="Q261" s="1178"/>
      <c r="R261" s="1178"/>
      <c r="S261" s="1178"/>
      <c r="T261" s="1178"/>
      <c r="U261" s="1178"/>
      <c r="V261" s="23"/>
    </row>
    <row r="262" spans="1:22" s="16" customFormat="1" ht="13.5" customHeight="1" x14ac:dyDescent="0.2">
      <c r="A262" s="14"/>
      <c r="E262" s="548">
        <v>5</v>
      </c>
      <c r="F262" s="548"/>
      <c r="G262" s="1177" t="s">
        <v>214</v>
      </c>
      <c r="H262" s="1177"/>
      <c r="I262" s="1177"/>
      <c r="J262" s="1177"/>
      <c r="K262" s="1177"/>
      <c r="L262" s="1177"/>
      <c r="M262" s="1177"/>
      <c r="N262" s="1177"/>
      <c r="O262" s="1177"/>
      <c r="P262" s="1178">
        <v>0</v>
      </c>
      <c r="Q262" s="1178"/>
      <c r="R262" s="1178"/>
      <c r="S262" s="1178"/>
      <c r="T262" s="1178"/>
      <c r="U262" s="1178"/>
      <c r="V262" s="23"/>
    </row>
    <row r="263" spans="1:22" s="16" customFormat="1" ht="13.5" customHeight="1" x14ac:dyDescent="0.2">
      <c r="A263" s="14"/>
      <c r="E263" s="548">
        <v>6</v>
      </c>
      <c r="F263" s="548"/>
      <c r="G263" s="1177" t="s">
        <v>215</v>
      </c>
      <c r="H263" s="1177"/>
      <c r="I263" s="1177"/>
      <c r="J263" s="1177"/>
      <c r="K263" s="1177"/>
      <c r="L263" s="1177"/>
      <c r="M263" s="1177"/>
      <c r="N263" s="1177"/>
      <c r="O263" s="1177"/>
      <c r="P263" s="1178">
        <v>0</v>
      </c>
      <c r="Q263" s="1178"/>
      <c r="R263" s="1178"/>
      <c r="S263" s="1178"/>
      <c r="T263" s="1178"/>
      <c r="U263" s="1178"/>
      <c r="V263" s="23"/>
    </row>
    <row r="264" spans="1:22" s="16" customFormat="1" ht="13.5" customHeight="1" x14ac:dyDescent="0.2">
      <c r="A264" s="14"/>
      <c r="E264" s="548">
        <v>7</v>
      </c>
      <c r="F264" s="548"/>
      <c r="G264" s="1177" t="s">
        <v>216</v>
      </c>
      <c r="H264" s="1177"/>
      <c r="I264" s="1177"/>
      <c r="J264" s="1177"/>
      <c r="K264" s="1177"/>
      <c r="L264" s="1177"/>
      <c r="M264" s="1177"/>
      <c r="N264" s="1177"/>
      <c r="O264" s="1177"/>
      <c r="P264" s="1178">
        <v>0</v>
      </c>
      <c r="Q264" s="1178"/>
      <c r="R264" s="1178"/>
      <c r="S264" s="1178"/>
      <c r="T264" s="1178"/>
      <c r="U264" s="1178"/>
      <c r="V264" s="23"/>
    </row>
    <row r="265" spans="1:22" s="16" customFormat="1" ht="29.25" customHeight="1" x14ac:dyDescent="0.2">
      <c r="A265" s="14"/>
      <c r="E265" s="548">
        <v>8</v>
      </c>
      <c r="F265" s="548"/>
      <c r="G265" s="1177" t="s">
        <v>217</v>
      </c>
      <c r="H265" s="1177"/>
      <c r="I265" s="1177"/>
      <c r="J265" s="1177"/>
      <c r="K265" s="1177"/>
      <c r="L265" s="1177"/>
      <c r="M265" s="1177"/>
      <c r="N265" s="1177"/>
      <c r="O265" s="1177"/>
      <c r="P265" s="1178">
        <v>0</v>
      </c>
      <c r="Q265" s="1178"/>
      <c r="R265" s="1178"/>
      <c r="S265" s="1178"/>
      <c r="T265" s="1178"/>
      <c r="U265" s="1178"/>
      <c r="V265" s="23"/>
    </row>
    <row r="266" spans="1:22" s="16" customFormat="1" ht="13.5" customHeight="1" x14ac:dyDescent="0.2">
      <c r="A266" s="14"/>
      <c r="E266" s="548">
        <v>9</v>
      </c>
      <c r="F266" s="548"/>
      <c r="G266" s="1177" t="s">
        <v>218</v>
      </c>
      <c r="H266" s="1177"/>
      <c r="I266" s="1177"/>
      <c r="J266" s="1177"/>
      <c r="K266" s="1177"/>
      <c r="L266" s="1177"/>
      <c r="M266" s="1177"/>
      <c r="N266" s="1177"/>
      <c r="O266" s="1177"/>
      <c r="P266" s="1178">
        <v>0</v>
      </c>
      <c r="Q266" s="1178"/>
      <c r="R266" s="1178"/>
      <c r="S266" s="1178"/>
      <c r="T266" s="1178"/>
      <c r="U266" s="1178"/>
      <c r="V266" s="23"/>
    </row>
    <row r="267" spans="1:22" s="16" customFormat="1" ht="33.75" customHeight="1" x14ac:dyDescent="0.2">
      <c r="A267" s="14"/>
      <c r="E267" s="548">
        <v>10</v>
      </c>
      <c r="F267" s="548"/>
      <c r="G267" s="1177" t="s">
        <v>219</v>
      </c>
      <c r="H267" s="1177"/>
      <c r="I267" s="1177"/>
      <c r="J267" s="1177"/>
      <c r="K267" s="1177"/>
      <c r="L267" s="1177"/>
      <c r="M267" s="1177"/>
      <c r="N267" s="1177"/>
      <c r="O267" s="1177"/>
      <c r="P267" s="1178">
        <v>0</v>
      </c>
      <c r="Q267" s="1178"/>
      <c r="R267" s="1178"/>
      <c r="S267" s="1178"/>
      <c r="T267" s="1178"/>
      <c r="U267" s="1178"/>
      <c r="V267" s="23"/>
    </row>
    <row r="268" spans="1:22" s="16" customFormat="1" ht="18" customHeight="1" x14ac:dyDescent="0.2">
      <c r="A268" s="14"/>
      <c r="B268" s="77"/>
      <c r="C268" s="77"/>
      <c r="E268" s="1171" t="s">
        <v>220</v>
      </c>
      <c r="F268" s="1172"/>
      <c r="G268" s="1172"/>
      <c r="H268" s="1172"/>
      <c r="I268" s="1172"/>
      <c r="J268" s="1172"/>
      <c r="K268" s="1172"/>
      <c r="L268" s="1172"/>
      <c r="M268" s="1172"/>
      <c r="N268" s="1172"/>
      <c r="O268" s="1173"/>
      <c r="P268" s="1181">
        <f>SUM(P258:U267)</f>
        <v>0</v>
      </c>
      <c r="Q268" s="1181"/>
      <c r="R268" s="1181"/>
      <c r="S268" s="1181"/>
      <c r="T268" s="1181"/>
      <c r="U268" s="1181"/>
      <c r="V268" s="23"/>
    </row>
    <row r="269" spans="1:22" s="16" customFormat="1" ht="18" customHeight="1" x14ac:dyDescent="0.2">
      <c r="A269" s="14"/>
      <c r="B269" s="77"/>
      <c r="C269" s="77"/>
      <c r="E269" s="79"/>
      <c r="F269" s="79"/>
      <c r="G269" s="79"/>
      <c r="H269" s="79"/>
      <c r="I269" s="79"/>
      <c r="J269" s="79"/>
      <c r="K269" s="79"/>
      <c r="L269" s="79"/>
      <c r="M269" s="79"/>
      <c r="N269" s="79"/>
      <c r="O269" s="79"/>
      <c r="P269" s="80"/>
      <c r="Q269" s="80"/>
      <c r="R269" s="80"/>
      <c r="S269" s="80"/>
      <c r="T269" s="80"/>
      <c r="U269" s="80"/>
      <c r="V269" s="23"/>
    </row>
    <row r="270" spans="1:22" s="16" customFormat="1" ht="18" customHeight="1" x14ac:dyDescent="0.2">
      <c r="A270" s="14"/>
      <c r="B270" s="77"/>
      <c r="C270" s="77"/>
      <c r="E270" s="79"/>
      <c r="F270" s="79"/>
      <c r="G270" s="79"/>
      <c r="H270" s="79"/>
      <c r="I270" s="79"/>
      <c r="J270" s="79"/>
      <c r="K270" s="79"/>
      <c r="L270" s="79"/>
      <c r="M270" s="79"/>
      <c r="N270" s="79"/>
      <c r="O270" s="79"/>
      <c r="P270" s="80"/>
      <c r="Q270" s="80"/>
      <c r="R270" s="80"/>
      <c r="S270" s="80"/>
      <c r="T270" s="80"/>
      <c r="U270" s="80"/>
      <c r="V270" s="23"/>
    </row>
    <row r="271" spans="1:22" s="16" customFormat="1" ht="20.25" customHeight="1" x14ac:dyDescent="0.2">
      <c r="A271" s="14"/>
      <c r="B271" s="77"/>
      <c r="C271" s="77"/>
      <c r="D271" s="81"/>
      <c r="E271" s="82"/>
      <c r="F271" s="82"/>
      <c r="G271" s="82"/>
      <c r="H271" s="82"/>
      <c r="I271" s="82"/>
      <c r="J271" s="82"/>
      <c r="K271" s="82"/>
      <c r="L271" s="82"/>
      <c r="M271" s="83"/>
      <c r="N271" s="84"/>
      <c r="O271" s="84"/>
      <c r="P271" s="84"/>
      <c r="Q271" s="84"/>
      <c r="R271" s="77"/>
      <c r="S271" s="77"/>
      <c r="T271" s="37"/>
      <c r="U271" s="37"/>
      <c r="V271" s="23"/>
    </row>
    <row r="272" spans="1:22" s="16" customFormat="1" ht="20.25" customHeight="1" x14ac:dyDescent="0.2">
      <c r="A272" s="14"/>
      <c r="B272" s="77"/>
      <c r="C272" s="77"/>
      <c r="D272" s="85" t="s">
        <v>49</v>
      </c>
      <c r="E272" s="1179" t="s">
        <v>200</v>
      </c>
      <c r="F272" s="1179"/>
      <c r="G272" s="1179"/>
      <c r="H272" s="1179"/>
      <c r="I272" s="1179"/>
      <c r="J272" s="1179"/>
      <c r="K272" s="1179"/>
      <c r="L272" s="1179"/>
      <c r="M272" s="1179"/>
      <c r="N272" s="1179"/>
      <c r="O272" s="1179"/>
      <c r="P272" s="1179"/>
      <c r="Q272" s="1179"/>
      <c r="R272" s="1179"/>
      <c r="S272" s="1179"/>
      <c r="T272" s="1179"/>
      <c r="U272" s="1179"/>
      <c r="V272" s="23"/>
    </row>
    <row r="273" spans="1:22" s="16" customFormat="1" ht="45.75" customHeight="1" x14ac:dyDescent="0.2">
      <c r="A273" s="14"/>
      <c r="B273" s="77"/>
      <c r="C273" s="77"/>
      <c r="D273" s="56"/>
      <c r="E273" s="407" t="str">
        <f>"Realisasi Retrubis Daerah  TA "&amp;'[1]2.ISIAN DATA SKPD'!E42&amp;" adalah sebesar Rp. "&amp;FIXED(P282) &amp;" Adapun rincian Retribusi Daerah  sebagai berikut :"</f>
        <v>Realisasi Retrubis Daerah  TA  adalah sebesar Rp. 12.984.000,00 Adapun rincian Retribusi Daerah  sebagai berikut :</v>
      </c>
      <c r="F273" s="407"/>
      <c r="G273" s="407"/>
      <c r="H273" s="407"/>
      <c r="I273" s="407"/>
      <c r="J273" s="407"/>
      <c r="K273" s="407"/>
      <c r="L273" s="407"/>
      <c r="M273" s="407"/>
      <c r="N273" s="407"/>
      <c r="O273" s="407"/>
      <c r="P273" s="407"/>
      <c r="Q273" s="407"/>
      <c r="R273" s="407"/>
      <c r="S273" s="407"/>
      <c r="T273" s="407"/>
      <c r="U273" s="407"/>
      <c r="V273" s="23"/>
    </row>
    <row r="274" spans="1:22" s="16" customFormat="1" ht="20.25" customHeight="1" x14ac:dyDescent="0.2">
      <c r="A274" s="14"/>
      <c r="B274" s="77"/>
      <c r="C274" s="77"/>
      <c r="D274" s="56"/>
      <c r="E274" s="77"/>
      <c r="F274" s="77"/>
      <c r="G274" s="77"/>
      <c r="H274" s="77"/>
      <c r="I274" s="77"/>
      <c r="J274" s="77"/>
      <c r="K274" s="77"/>
      <c r="L274" s="77"/>
      <c r="M274" s="77"/>
      <c r="N274" s="77"/>
      <c r="O274" s="77"/>
      <c r="P274" s="77"/>
      <c r="Q274" s="77"/>
      <c r="R274" s="77"/>
      <c r="S274" s="77"/>
      <c r="T274" s="77"/>
      <c r="U274" s="77"/>
      <c r="V274" s="23"/>
    </row>
    <row r="275" spans="1:22" s="16" customFormat="1" ht="20.25" customHeight="1" x14ac:dyDescent="0.2">
      <c r="A275" s="14"/>
      <c r="B275" s="77"/>
      <c r="C275" s="77"/>
      <c r="E275" s="544" t="s">
        <v>209</v>
      </c>
      <c r="F275" s="544"/>
      <c r="G275" s="544" t="s">
        <v>200</v>
      </c>
      <c r="H275" s="544"/>
      <c r="I275" s="544"/>
      <c r="J275" s="544"/>
      <c r="K275" s="544"/>
      <c r="L275" s="544"/>
      <c r="M275" s="544"/>
      <c r="N275" s="544"/>
      <c r="O275" s="544"/>
      <c r="P275" s="1180" t="s">
        <v>193</v>
      </c>
      <c r="Q275" s="1180"/>
      <c r="R275" s="1180"/>
      <c r="S275" s="1180"/>
      <c r="T275" s="1180"/>
      <c r="U275" s="1180"/>
      <c r="V275" s="23"/>
    </row>
    <row r="276" spans="1:22" s="16" customFormat="1" ht="20.25" customHeight="1" x14ac:dyDescent="0.2">
      <c r="A276" s="14"/>
      <c r="B276" s="77"/>
      <c r="C276" s="77"/>
      <c r="E276" s="548">
        <v>1</v>
      </c>
      <c r="F276" s="548"/>
      <c r="G276" s="1177" t="s">
        <v>221</v>
      </c>
      <c r="H276" s="1177"/>
      <c r="I276" s="1177"/>
      <c r="J276" s="1177"/>
      <c r="K276" s="1177"/>
      <c r="L276" s="1177"/>
      <c r="M276" s="1177"/>
      <c r="N276" s="1177"/>
      <c r="O276" s="1177"/>
      <c r="P276" s="1178">
        <v>0</v>
      </c>
      <c r="Q276" s="1178"/>
      <c r="R276" s="1178"/>
      <c r="S276" s="1178"/>
      <c r="T276" s="1178"/>
      <c r="U276" s="1178"/>
      <c r="V276" s="23"/>
    </row>
    <row r="277" spans="1:22" s="16" customFormat="1" ht="20.25" customHeight="1" x14ac:dyDescent="0.2">
      <c r="A277" s="14"/>
      <c r="B277" s="77"/>
      <c r="C277" s="77"/>
      <c r="E277" s="548">
        <v>2</v>
      </c>
      <c r="F277" s="548"/>
      <c r="G277" s="1177" t="s">
        <v>222</v>
      </c>
      <c r="H277" s="1177"/>
      <c r="I277" s="1177"/>
      <c r="J277" s="1177"/>
      <c r="K277" s="1177"/>
      <c r="L277" s="1177"/>
      <c r="M277" s="1177"/>
      <c r="N277" s="1177"/>
      <c r="O277" s="1177"/>
      <c r="P277" s="1178">
        <v>0</v>
      </c>
      <c r="Q277" s="1178"/>
      <c r="R277" s="1178"/>
      <c r="S277" s="1178"/>
      <c r="T277" s="1178"/>
      <c r="U277" s="1178"/>
      <c r="V277" s="23"/>
    </row>
    <row r="278" spans="1:22" s="16" customFormat="1" ht="31.5" customHeight="1" x14ac:dyDescent="0.2">
      <c r="A278" s="14"/>
      <c r="B278" s="77"/>
      <c r="C278" s="77"/>
      <c r="E278" s="548">
        <v>3</v>
      </c>
      <c r="F278" s="548"/>
      <c r="G278" s="1177" t="s">
        <v>223</v>
      </c>
      <c r="H278" s="1177"/>
      <c r="I278" s="1177"/>
      <c r="J278" s="1177"/>
      <c r="K278" s="1177"/>
      <c r="L278" s="1177"/>
      <c r="M278" s="1177"/>
      <c r="N278" s="1177"/>
      <c r="O278" s="1177"/>
      <c r="P278" s="1178">
        <v>0</v>
      </c>
      <c r="Q278" s="1178"/>
      <c r="R278" s="1178"/>
      <c r="S278" s="1178"/>
      <c r="T278" s="1178"/>
      <c r="U278" s="1178"/>
      <c r="V278" s="23"/>
    </row>
    <row r="279" spans="1:22" s="16" customFormat="1" ht="20.25" customHeight="1" x14ac:dyDescent="0.2">
      <c r="A279" s="14"/>
      <c r="B279" s="77"/>
      <c r="C279" s="77"/>
      <c r="E279" s="548">
        <v>4</v>
      </c>
      <c r="F279" s="548"/>
      <c r="G279" s="1177" t="s">
        <v>224</v>
      </c>
      <c r="H279" s="1177"/>
      <c r="I279" s="1177"/>
      <c r="J279" s="1177"/>
      <c r="K279" s="1177"/>
      <c r="L279" s="1177"/>
      <c r="M279" s="1177"/>
      <c r="N279" s="1177"/>
      <c r="O279" s="1177"/>
      <c r="P279" s="1178">
        <v>0</v>
      </c>
      <c r="Q279" s="1178"/>
      <c r="R279" s="1178"/>
      <c r="S279" s="1178"/>
      <c r="T279" s="1178"/>
      <c r="U279" s="1178"/>
      <c r="V279" s="23"/>
    </row>
    <row r="280" spans="1:22" s="16" customFormat="1" ht="20.25" customHeight="1" x14ac:dyDescent="0.2">
      <c r="A280" s="14"/>
      <c r="B280" s="77"/>
      <c r="C280" s="77"/>
      <c r="E280" s="548">
        <v>5</v>
      </c>
      <c r="F280" s="548"/>
      <c r="G280" s="1177" t="s">
        <v>225</v>
      </c>
      <c r="H280" s="1177"/>
      <c r="I280" s="1177"/>
      <c r="J280" s="1177"/>
      <c r="K280" s="1177"/>
      <c r="L280" s="1177"/>
      <c r="M280" s="1177"/>
      <c r="N280" s="1177"/>
      <c r="O280" s="1177"/>
      <c r="P280" s="1178">
        <v>0</v>
      </c>
      <c r="Q280" s="1178"/>
      <c r="R280" s="1178"/>
      <c r="S280" s="1178"/>
      <c r="T280" s="1178"/>
      <c r="U280" s="1178"/>
      <c r="V280" s="23"/>
    </row>
    <row r="281" spans="1:22" s="16" customFormat="1" ht="36" customHeight="1" x14ac:dyDescent="0.2">
      <c r="A281" s="14"/>
      <c r="B281" s="77"/>
      <c r="C281" s="77"/>
      <c r="E281" s="548">
        <v>6</v>
      </c>
      <c r="F281" s="548"/>
      <c r="G281" s="1177" t="s">
        <v>226</v>
      </c>
      <c r="H281" s="1177"/>
      <c r="I281" s="1177"/>
      <c r="J281" s="1177"/>
      <c r="K281" s="1177"/>
      <c r="L281" s="1177"/>
      <c r="M281" s="1177"/>
      <c r="N281" s="1177"/>
      <c r="O281" s="1177"/>
      <c r="P281" s="1178">
        <f>J246</f>
        <v>12984000</v>
      </c>
      <c r="Q281" s="1178"/>
      <c r="R281" s="1178"/>
      <c r="S281" s="1178"/>
      <c r="T281" s="1178"/>
      <c r="U281" s="1178"/>
      <c r="V281" s="23"/>
    </row>
    <row r="282" spans="1:22" s="16" customFormat="1" ht="20.25" customHeight="1" x14ac:dyDescent="0.2">
      <c r="A282" s="14"/>
      <c r="B282" s="77"/>
      <c r="C282" s="77"/>
      <c r="E282" s="1171" t="s">
        <v>220</v>
      </c>
      <c r="F282" s="1172"/>
      <c r="G282" s="1172"/>
      <c r="H282" s="1172"/>
      <c r="I282" s="1172"/>
      <c r="J282" s="1172"/>
      <c r="K282" s="1172"/>
      <c r="L282" s="1172"/>
      <c r="M282" s="1172"/>
      <c r="N282" s="1172"/>
      <c r="O282" s="1173"/>
      <c r="P282" s="1174">
        <f>SUM(P276:U281)</f>
        <v>12984000</v>
      </c>
      <c r="Q282" s="1174"/>
      <c r="R282" s="1174"/>
      <c r="S282" s="1174"/>
      <c r="T282" s="1174"/>
      <c r="U282" s="1174"/>
      <c r="V282" s="23"/>
    </row>
    <row r="283" spans="1:22" s="16" customFormat="1" ht="15.75" customHeight="1" x14ac:dyDescent="0.2">
      <c r="A283" s="14"/>
      <c r="B283" s="77"/>
      <c r="C283" s="77"/>
      <c r="D283" s="81"/>
      <c r="E283" s="82"/>
      <c r="F283" s="82"/>
      <c r="G283" s="82"/>
      <c r="H283" s="82"/>
      <c r="I283" s="82"/>
      <c r="J283" s="82"/>
      <c r="K283" s="82"/>
      <c r="L283" s="82"/>
      <c r="M283" s="83"/>
      <c r="N283" s="84"/>
      <c r="O283" s="84"/>
      <c r="P283" s="84"/>
      <c r="Q283" s="84"/>
      <c r="R283" s="77"/>
      <c r="S283" s="77"/>
      <c r="T283" s="37"/>
      <c r="U283" s="37"/>
      <c r="V283" s="23"/>
    </row>
    <row r="284" spans="1:22" s="16" customFormat="1" ht="20.25" customHeight="1" x14ac:dyDescent="0.2">
      <c r="A284" s="14"/>
      <c r="B284" s="77"/>
      <c r="C284" s="77"/>
      <c r="D284" s="85" t="s">
        <v>170</v>
      </c>
      <c r="E284" s="1179" t="s">
        <v>201</v>
      </c>
      <c r="F284" s="1179"/>
      <c r="G284" s="1179"/>
      <c r="H284" s="1179"/>
      <c r="I284" s="1179"/>
      <c r="J284" s="1179"/>
      <c r="K284" s="1179"/>
      <c r="L284" s="1179"/>
      <c r="M284" s="1179"/>
      <c r="N284" s="1179"/>
      <c r="O284" s="1179"/>
      <c r="P284" s="1179"/>
      <c r="Q284" s="1179"/>
      <c r="R284" s="1179"/>
      <c r="S284" s="1179"/>
      <c r="T284" s="1179"/>
      <c r="U284" s="1179"/>
      <c r="V284" s="23"/>
    </row>
    <row r="285" spans="1:22" s="16" customFormat="1" ht="49.5" customHeight="1" x14ac:dyDescent="0.2">
      <c r="A285" s="14"/>
      <c r="B285" s="77"/>
      <c r="C285" s="77"/>
      <c r="D285" s="56"/>
      <c r="E285" s="407" t="str">
        <f>"Realisasi Pengelolaan Kekayaan Daerah Yang Dipisahkan Daerah  TA "&amp;'[1]2.ISIAN DATA SKPD'!E54&amp;" adalah sebesar Rp. "&amp;FIXED(P290) &amp;" Adapun rincian Retribusi Daerah  sebagai berikut :"</f>
        <v>Realisasi Pengelolaan Kekayaan Daerah Yang Dipisahkan Daerah  TA  adalah sebesar Rp. 0,00 Adapun rincian Retribusi Daerah  sebagai berikut :</v>
      </c>
      <c r="F285" s="407"/>
      <c r="G285" s="407"/>
      <c r="H285" s="407"/>
      <c r="I285" s="407"/>
      <c r="J285" s="407"/>
      <c r="K285" s="407"/>
      <c r="L285" s="407"/>
      <c r="M285" s="407"/>
      <c r="N285" s="407"/>
      <c r="O285" s="407"/>
      <c r="P285" s="407"/>
      <c r="Q285" s="407"/>
      <c r="R285" s="407"/>
      <c r="S285" s="407"/>
      <c r="T285" s="407"/>
      <c r="U285" s="407"/>
      <c r="V285" s="23"/>
    </row>
    <row r="286" spans="1:22" s="16" customFormat="1" ht="15.75" customHeight="1" x14ac:dyDescent="0.2">
      <c r="A286" s="14"/>
      <c r="B286" s="77"/>
      <c r="C286" s="77"/>
      <c r="D286" s="56"/>
      <c r="E286" s="77"/>
      <c r="F286" s="77"/>
      <c r="G286" s="77"/>
      <c r="H286" s="77"/>
      <c r="I286" s="77"/>
      <c r="J286" s="77"/>
      <c r="K286" s="77"/>
      <c r="L286" s="77"/>
      <c r="M286" s="77"/>
      <c r="N286" s="77"/>
      <c r="O286" s="77"/>
      <c r="P286" s="77"/>
      <c r="Q286" s="77"/>
      <c r="R286" s="77"/>
      <c r="S286" s="77"/>
      <c r="T286" s="77"/>
      <c r="U286" s="77"/>
      <c r="V286" s="23"/>
    </row>
    <row r="287" spans="1:22" s="16" customFormat="1" ht="33" customHeight="1" x14ac:dyDescent="0.2">
      <c r="A287" s="14"/>
      <c r="B287" s="77"/>
      <c r="C287" s="77"/>
      <c r="E287" s="544" t="s">
        <v>209</v>
      </c>
      <c r="F287" s="544"/>
      <c r="G287" s="544" t="s">
        <v>201</v>
      </c>
      <c r="H287" s="544"/>
      <c r="I287" s="544"/>
      <c r="J287" s="544"/>
      <c r="K287" s="544"/>
      <c r="L287" s="544"/>
      <c r="M287" s="544"/>
      <c r="N287" s="544"/>
      <c r="O287" s="544"/>
      <c r="P287" s="1180" t="s">
        <v>193</v>
      </c>
      <c r="Q287" s="1180"/>
      <c r="R287" s="1180"/>
      <c r="S287" s="1180"/>
      <c r="T287" s="1180"/>
      <c r="U287" s="1180"/>
      <c r="V287" s="23"/>
    </row>
    <row r="288" spans="1:22" s="16" customFormat="1" ht="33.75" customHeight="1" x14ac:dyDescent="0.2">
      <c r="A288" s="14"/>
      <c r="B288" s="77"/>
      <c r="C288" s="77"/>
      <c r="E288" s="548">
        <v>1</v>
      </c>
      <c r="F288" s="548"/>
      <c r="G288" s="1177" t="s">
        <v>227</v>
      </c>
      <c r="H288" s="1177"/>
      <c r="I288" s="1177"/>
      <c r="J288" s="1177"/>
      <c r="K288" s="1177"/>
      <c r="L288" s="1177"/>
      <c r="M288" s="1177"/>
      <c r="N288" s="1177"/>
      <c r="O288" s="1177"/>
      <c r="P288" s="1178">
        <v>0</v>
      </c>
      <c r="Q288" s="1178"/>
      <c r="R288" s="1178"/>
      <c r="S288" s="1178"/>
      <c r="T288" s="1178"/>
      <c r="U288" s="1178"/>
      <c r="V288" s="23"/>
    </row>
    <row r="289" spans="1:38" s="16" customFormat="1" ht="28.5" customHeight="1" x14ac:dyDescent="0.2">
      <c r="A289" s="14"/>
      <c r="B289" s="77"/>
      <c r="C289" s="77"/>
      <c r="E289" s="548">
        <v>2</v>
      </c>
      <c r="F289" s="548"/>
      <c r="G289" s="1177" t="s">
        <v>228</v>
      </c>
      <c r="H289" s="1177"/>
      <c r="I289" s="1177"/>
      <c r="J289" s="1177"/>
      <c r="K289" s="1177"/>
      <c r="L289" s="1177"/>
      <c r="M289" s="1177"/>
      <c r="N289" s="1177"/>
      <c r="O289" s="1177"/>
      <c r="P289" s="1178">
        <v>0</v>
      </c>
      <c r="Q289" s="1178"/>
      <c r="R289" s="1178"/>
      <c r="S289" s="1178"/>
      <c r="T289" s="1178"/>
      <c r="U289" s="1178"/>
      <c r="V289" s="23"/>
    </row>
    <row r="290" spans="1:38" s="16" customFormat="1" ht="20.25" customHeight="1" x14ac:dyDescent="0.2">
      <c r="A290" s="14"/>
      <c r="B290" s="77"/>
      <c r="C290" s="77"/>
      <c r="E290" s="1171" t="s">
        <v>220</v>
      </c>
      <c r="F290" s="1172"/>
      <c r="G290" s="1172"/>
      <c r="H290" s="1172"/>
      <c r="I290" s="1172"/>
      <c r="J290" s="1172"/>
      <c r="K290" s="1172"/>
      <c r="L290" s="1172"/>
      <c r="M290" s="1172"/>
      <c r="N290" s="1172"/>
      <c r="O290" s="1173"/>
      <c r="P290" s="1174">
        <f>SUM(P288:U289)</f>
        <v>0</v>
      </c>
      <c r="Q290" s="1174"/>
      <c r="R290" s="1174"/>
      <c r="S290" s="1174"/>
      <c r="T290" s="1174"/>
      <c r="U290" s="1174"/>
      <c r="V290" s="23"/>
    </row>
    <row r="291" spans="1:38" s="16" customFormat="1" ht="14.25" customHeight="1" x14ac:dyDescent="0.2">
      <c r="A291" s="14"/>
      <c r="B291" s="77"/>
      <c r="C291" s="77"/>
      <c r="D291" s="81"/>
      <c r="E291" s="82"/>
      <c r="F291" s="82"/>
      <c r="G291" s="82"/>
      <c r="H291" s="82"/>
      <c r="I291" s="82"/>
      <c r="J291" s="82"/>
      <c r="K291" s="82"/>
      <c r="L291" s="82"/>
      <c r="M291" s="83"/>
      <c r="N291" s="84"/>
      <c r="O291" s="84"/>
      <c r="P291" s="84"/>
      <c r="Q291" s="84"/>
      <c r="R291" s="77"/>
      <c r="S291" s="77"/>
      <c r="T291" s="37"/>
      <c r="U291" s="37"/>
      <c r="V291" s="23"/>
    </row>
    <row r="292" spans="1:38" s="16" customFormat="1" ht="20.25" customHeight="1" x14ac:dyDescent="0.2">
      <c r="A292" s="14"/>
      <c r="B292" s="77"/>
      <c r="C292" s="77"/>
      <c r="D292" s="85" t="s">
        <v>170</v>
      </c>
      <c r="E292" s="1179" t="s">
        <v>229</v>
      </c>
      <c r="F292" s="1179"/>
      <c r="G292" s="1179"/>
      <c r="H292" s="1179"/>
      <c r="I292" s="1179"/>
      <c r="J292" s="1179"/>
      <c r="K292" s="1179"/>
      <c r="L292" s="1179"/>
      <c r="M292" s="1179"/>
      <c r="N292" s="1179"/>
      <c r="O292" s="1179"/>
      <c r="P292" s="1179"/>
      <c r="Q292" s="1179"/>
      <c r="R292" s="1179"/>
      <c r="S292" s="1179"/>
      <c r="T292" s="1179"/>
      <c r="U292" s="1179"/>
      <c r="V292" s="23"/>
    </row>
    <row r="293" spans="1:38" s="16" customFormat="1" ht="34.5" customHeight="1" x14ac:dyDescent="0.2">
      <c r="A293" s="14"/>
      <c r="B293" s="77"/>
      <c r="C293" s="77"/>
      <c r="D293" s="56"/>
      <c r="E293" s="407" t="str">
        <f>"Realisasi Lain-lain PAD Yang Sah  TA "&amp;'[1]2.ISIAN DATA SKPD'!E62&amp;" adalah sebesar Rp. "&amp;FIXED(P302) &amp;" Adapun rincian Retribusi Daerah  sebagai berikut :"</f>
        <v>Realisasi Lain-lain PAD Yang Sah  TA  adalah sebesar Rp. 0,00 Adapun rincian Retribusi Daerah  sebagai berikut :</v>
      </c>
      <c r="F293" s="407"/>
      <c r="G293" s="407"/>
      <c r="H293" s="407"/>
      <c r="I293" s="407"/>
      <c r="J293" s="407"/>
      <c r="K293" s="407"/>
      <c r="L293" s="407"/>
      <c r="M293" s="407"/>
      <c r="N293" s="407"/>
      <c r="O293" s="407"/>
      <c r="P293" s="407"/>
      <c r="Q293" s="407"/>
      <c r="R293" s="407"/>
      <c r="S293" s="407"/>
      <c r="T293" s="407"/>
      <c r="U293" s="407"/>
      <c r="V293" s="23"/>
    </row>
    <row r="294" spans="1:38" s="16" customFormat="1" ht="12.75" customHeight="1" x14ac:dyDescent="0.2">
      <c r="A294" s="14"/>
      <c r="B294" s="77"/>
      <c r="C294" s="77"/>
      <c r="D294" s="56"/>
      <c r="E294" s="77"/>
      <c r="F294" s="77"/>
      <c r="G294" s="77"/>
      <c r="H294" s="77"/>
      <c r="I294" s="77"/>
      <c r="J294" s="77"/>
      <c r="K294" s="77"/>
      <c r="L294" s="77"/>
      <c r="M294" s="77"/>
      <c r="N294" s="77"/>
      <c r="O294" s="77"/>
      <c r="P294" s="77"/>
      <c r="Q294" s="77"/>
      <c r="R294" s="77"/>
      <c r="S294" s="77"/>
      <c r="T294" s="77"/>
      <c r="U294" s="77"/>
      <c r="V294" s="23"/>
    </row>
    <row r="295" spans="1:38" s="16" customFormat="1" ht="20.25" customHeight="1" x14ac:dyDescent="0.2">
      <c r="A295" s="14"/>
      <c r="B295" s="77"/>
      <c r="C295" s="77"/>
      <c r="E295" s="544" t="s">
        <v>209</v>
      </c>
      <c r="F295" s="544"/>
      <c r="G295" s="544" t="s">
        <v>229</v>
      </c>
      <c r="H295" s="544"/>
      <c r="I295" s="544"/>
      <c r="J295" s="544"/>
      <c r="K295" s="544"/>
      <c r="L295" s="544"/>
      <c r="M295" s="544"/>
      <c r="N295" s="544"/>
      <c r="O295" s="544"/>
      <c r="P295" s="1180" t="s">
        <v>193</v>
      </c>
      <c r="Q295" s="1180"/>
      <c r="R295" s="1180"/>
      <c r="S295" s="1180"/>
      <c r="T295" s="1180"/>
      <c r="U295" s="1180"/>
      <c r="V295" s="23"/>
    </row>
    <row r="296" spans="1:38" s="16" customFormat="1" ht="30" customHeight="1" x14ac:dyDescent="0.2">
      <c r="A296" s="14"/>
      <c r="B296" s="77"/>
      <c r="C296" s="77"/>
      <c r="E296" s="548">
        <v>1</v>
      </c>
      <c r="F296" s="548"/>
      <c r="G296" s="1177" t="s">
        <v>230</v>
      </c>
      <c r="H296" s="1177"/>
      <c r="I296" s="1177"/>
      <c r="J296" s="1177"/>
      <c r="K296" s="1177"/>
      <c r="L296" s="1177"/>
      <c r="M296" s="1177"/>
      <c r="N296" s="1177"/>
      <c r="O296" s="1177"/>
      <c r="P296" s="1178">
        <v>0</v>
      </c>
      <c r="Q296" s="1178"/>
      <c r="R296" s="1178"/>
      <c r="S296" s="1178"/>
      <c r="T296" s="1178"/>
      <c r="U296" s="1178"/>
      <c r="V296" s="23"/>
    </row>
    <row r="297" spans="1:38" s="16" customFormat="1" ht="20.25" customHeight="1" x14ac:dyDescent="0.2">
      <c r="A297" s="14"/>
      <c r="B297" s="77"/>
      <c r="C297" s="77"/>
      <c r="E297" s="548">
        <v>2</v>
      </c>
      <c r="F297" s="548"/>
      <c r="G297" s="1177" t="s">
        <v>231</v>
      </c>
      <c r="H297" s="1177"/>
      <c r="I297" s="1177"/>
      <c r="J297" s="1177"/>
      <c r="K297" s="1177"/>
      <c r="L297" s="1177"/>
      <c r="M297" s="1177"/>
      <c r="N297" s="1177"/>
      <c r="O297" s="1177"/>
      <c r="P297" s="1178">
        <v>0</v>
      </c>
      <c r="Q297" s="1178"/>
      <c r="R297" s="1178"/>
      <c r="S297" s="1178"/>
      <c r="T297" s="1178"/>
      <c r="U297" s="1178"/>
      <c r="V297" s="23"/>
    </row>
    <row r="298" spans="1:38" s="16" customFormat="1" ht="20.25" customHeight="1" x14ac:dyDescent="0.2">
      <c r="A298" s="14"/>
      <c r="B298" s="77"/>
      <c r="C298" s="77"/>
      <c r="E298" s="548">
        <v>3</v>
      </c>
      <c r="F298" s="548"/>
      <c r="G298" s="1177" t="s">
        <v>232</v>
      </c>
      <c r="H298" s="1177"/>
      <c r="I298" s="1177"/>
      <c r="J298" s="1177"/>
      <c r="K298" s="1177"/>
      <c r="L298" s="1177"/>
      <c r="M298" s="1177"/>
      <c r="N298" s="1177"/>
      <c r="O298" s="1177"/>
      <c r="P298" s="1178">
        <v>0</v>
      </c>
      <c r="Q298" s="1178"/>
      <c r="R298" s="1178"/>
      <c r="S298" s="1178"/>
      <c r="T298" s="1178"/>
      <c r="U298" s="1178"/>
      <c r="V298" s="23"/>
    </row>
    <row r="299" spans="1:38" s="16" customFormat="1" ht="20.25" customHeight="1" x14ac:dyDescent="0.2">
      <c r="A299" s="14"/>
      <c r="B299" s="77"/>
      <c r="C299" s="77"/>
      <c r="E299" s="548">
        <v>4</v>
      </c>
      <c r="F299" s="548"/>
      <c r="G299" s="1177" t="s">
        <v>233</v>
      </c>
      <c r="H299" s="1177"/>
      <c r="I299" s="1177"/>
      <c r="J299" s="1177"/>
      <c r="K299" s="1177"/>
      <c r="L299" s="1177"/>
      <c r="M299" s="1177"/>
      <c r="N299" s="1177"/>
      <c r="O299" s="1177"/>
      <c r="P299" s="1178">
        <v>0</v>
      </c>
      <c r="Q299" s="1178"/>
      <c r="R299" s="1178"/>
      <c r="S299" s="1178"/>
      <c r="T299" s="1178"/>
      <c r="U299" s="1178"/>
      <c r="V299" s="23"/>
    </row>
    <row r="300" spans="1:38" s="16" customFormat="1" ht="20.25" customHeight="1" x14ac:dyDescent="0.2">
      <c r="A300" s="14"/>
      <c r="B300" s="77"/>
      <c r="C300" s="77"/>
      <c r="E300" s="548">
        <v>5</v>
      </c>
      <c r="F300" s="548"/>
      <c r="G300" s="1177" t="s">
        <v>234</v>
      </c>
      <c r="H300" s="1177"/>
      <c r="I300" s="1177"/>
      <c r="J300" s="1177"/>
      <c r="K300" s="1177"/>
      <c r="L300" s="1177"/>
      <c r="M300" s="1177"/>
      <c r="N300" s="1177"/>
      <c r="O300" s="1177"/>
      <c r="P300" s="1178">
        <v>0</v>
      </c>
      <c r="Q300" s="1178"/>
      <c r="R300" s="1178"/>
      <c r="S300" s="1178"/>
      <c r="T300" s="1178"/>
      <c r="U300" s="1178"/>
      <c r="V300" s="23"/>
    </row>
    <row r="301" spans="1:38" s="16" customFormat="1" ht="20.25" customHeight="1" x14ac:dyDescent="0.2">
      <c r="A301" s="14"/>
      <c r="B301" s="77"/>
      <c r="C301" s="77"/>
      <c r="E301" s="548">
        <v>6</v>
      </c>
      <c r="F301" s="548"/>
      <c r="G301" s="1177" t="s">
        <v>235</v>
      </c>
      <c r="H301" s="1177"/>
      <c r="I301" s="1177"/>
      <c r="J301" s="1177"/>
      <c r="K301" s="1177"/>
      <c r="L301" s="1177"/>
      <c r="M301" s="1177"/>
      <c r="N301" s="1177"/>
      <c r="O301" s="1177"/>
      <c r="P301" s="1178">
        <v>0</v>
      </c>
      <c r="Q301" s="1178"/>
      <c r="R301" s="1178"/>
      <c r="S301" s="1178"/>
      <c r="T301" s="1178"/>
      <c r="U301" s="1178"/>
      <c r="V301" s="23"/>
    </row>
    <row r="302" spans="1:38" s="16" customFormat="1" ht="20.25" customHeight="1" x14ac:dyDescent="0.2">
      <c r="A302" s="14"/>
      <c r="B302" s="77"/>
      <c r="C302" s="77"/>
      <c r="E302" s="1171" t="s">
        <v>220</v>
      </c>
      <c r="F302" s="1172"/>
      <c r="G302" s="1172"/>
      <c r="H302" s="1172"/>
      <c r="I302" s="1172"/>
      <c r="J302" s="1172"/>
      <c r="K302" s="1172"/>
      <c r="L302" s="1172"/>
      <c r="M302" s="1172"/>
      <c r="N302" s="1172"/>
      <c r="O302" s="1173"/>
      <c r="P302" s="1174">
        <f>SUM(P296:U301)</f>
        <v>0</v>
      </c>
      <c r="Q302" s="1174"/>
      <c r="R302" s="1174"/>
      <c r="S302" s="1174"/>
      <c r="T302" s="1174"/>
      <c r="U302" s="1174"/>
      <c r="V302" s="23"/>
    </row>
    <row r="303" spans="1:38" s="16" customFormat="1" ht="20.25" customHeight="1" x14ac:dyDescent="0.2">
      <c r="A303" s="14"/>
      <c r="B303" s="77"/>
      <c r="C303" s="77"/>
      <c r="D303" s="81"/>
      <c r="E303" s="82"/>
      <c r="F303" s="82"/>
      <c r="G303" s="82"/>
      <c r="H303" s="82"/>
      <c r="I303" s="82"/>
      <c r="J303" s="82"/>
      <c r="K303" s="82"/>
      <c r="L303" s="82"/>
      <c r="M303" s="83"/>
      <c r="N303" s="84"/>
      <c r="O303" s="84"/>
      <c r="P303" s="84"/>
      <c r="Q303" s="84"/>
      <c r="R303" s="77"/>
      <c r="S303" s="77"/>
      <c r="T303" s="37"/>
      <c r="U303" s="37"/>
      <c r="V303" s="23"/>
    </row>
    <row r="304" spans="1:38" s="87" customFormat="1" ht="18" customHeight="1" x14ac:dyDescent="0.2">
      <c r="A304" s="86"/>
      <c r="C304" s="88" t="s">
        <v>153</v>
      </c>
      <c r="D304" s="1175" t="s">
        <v>203</v>
      </c>
      <c r="E304" s="1175"/>
      <c r="F304" s="1175"/>
      <c r="G304" s="1175"/>
      <c r="H304" s="1175"/>
      <c r="I304" s="1175"/>
      <c r="J304" s="1175"/>
      <c r="K304" s="1175"/>
      <c r="L304" s="1175"/>
      <c r="M304" s="1175"/>
      <c r="N304" s="1175"/>
      <c r="O304" s="1175"/>
      <c r="P304" s="1175"/>
      <c r="Q304" s="1175"/>
      <c r="R304" s="1175"/>
      <c r="S304" s="1175"/>
      <c r="T304" s="1175"/>
      <c r="U304" s="1175"/>
      <c r="V304" s="1176"/>
      <c r="W304" s="1176"/>
      <c r="X304" s="1176"/>
      <c r="Y304" s="1176"/>
      <c r="Z304" s="1176"/>
      <c r="AA304" s="1176"/>
      <c r="AB304" s="1176"/>
      <c r="AC304" s="1176"/>
      <c r="AD304" s="1176"/>
      <c r="AE304" s="1176"/>
      <c r="AF304" s="1176"/>
      <c r="AG304" s="1176"/>
      <c r="AH304" s="1176"/>
      <c r="AI304" s="1176"/>
      <c r="AJ304" s="1176"/>
      <c r="AK304" s="1176"/>
      <c r="AL304" s="1176"/>
    </row>
    <row r="305" spans="1:38" s="16" customFormat="1" ht="19.5" customHeight="1" x14ac:dyDescent="0.2">
      <c r="A305" s="14"/>
      <c r="B305" s="89"/>
      <c r="D305" s="407" t="str">
        <f>"Pendapatan Transfer per "&amp;'[1]2.ISIAN DATA SKPD'!D10&amp;" sebesar Rp. "&amp;FIXED(J313)&amp;""</f>
        <v>Pendapatan Transfer per 31 Desember 2018 sebesar Rp. 0,00</v>
      </c>
      <c r="E305" s="407"/>
      <c r="F305" s="407"/>
      <c r="G305" s="407"/>
      <c r="H305" s="407"/>
      <c r="I305" s="407"/>
      <c r="J305" s="407"/>
      <c r="K305" s="407"/>
      <c r="L305" s="407"/>
      <c r="M305" s="407"/>
      <c r="N305" s="407"/>
      <c r="O305" s="407"/>
      <c r="P305" s="407"/>
      <c r="Q305" s="407"/>
      <c r="R305" s="407"/>
      <c r="S305" s="407"/>
      <c r="T305" s="407"/>
      <c r="U305" s="407"/>
      <c r="V305" s="744"/>
      <c r="W305" s="744"/>
      <c r="X305" s="744"/>
      <c r="Y305" s="744"/>
      <c r="Z305" s="744"/>
      <c r="AA305" s="744"/>
      <c r="AB305" s="744"/>
      <c r="AC305" s="744"/>
      <c r="AD305" s="744"/>
      <c r="AE305" s="744"/>
      <c r="AF305" s="744"/>
      <c r="AG305" s="744"/>
      <c r="AH305" s="744"/>
      <c r="AI305" s="744"/>
      <c r="AJ305" s="744"/>
      <c r="AK305" s="744"/>
      <c r="AL305" s="744"/>
    </row>
    <row r="306" spans="1:38" s="16" customFormat="1" ht="33" customHeight="1" x14ac:dyDescent="0.2">
      <c r="A306" s="14"/>
      <c r="B306" s="89"/>
      <c r="D306" s="407" t="s">
        <v>236</v>
      </c>
      <c r="E306" s="407"/>
      <c r="F306" s="407"/>
      <c r="G306" s="407"/>
      <c r="H306" s="407"/>
      <c r="I306" s="407"/>
      <c r="J306" s="407"/>
      <c r="K306" s="407"/>
      <c r="L306" s="407"/>
      <c r="M306" s="407"/>
      <c r="N306" s="407"/>
      <c r="O306" s="407"/>
      <c r="P306" s="407"/>
      <c r="Q306" s="407"/>
      <c r="R306" s="407"/>
      <c r="S306" s="407"/>
      <c r="T306" s="407"/>
      <c r="U306" s="407"/>
      <c r="V306" s="744"/>
      <c r="W306" s="744"/>
      <c r="X306" s="744"/>
      <c r="Y306" s="744"/>
      <c r="Z306" s="744"/>
      <c r="AA306" s="744"/>
      <c r="AB306" s="744"/>
      <c r="AC306" s="744"/>
      <c r="AD306" s="744"/>
      <c r="AE306" s="744"/>
      <c r="AF306" s="744"/>
      <c r="AG306" s="744"/>
      <c r="AH306" s="744"/>
      <c r="AI306" s="744"/>
      <c r="AJ306" s="744"/>
      <c r="AK306" s="744"/>
      <c r="AL306" s="744"/>
    </row>
    <row r="307" spans="1:38" s="16" customFormat="1" ht="18.75" customHeight="1" x14ac:dyDescent="0.2">
      <c r="A307" s="14"/>
      <c r="B307" s="89"/>
      <c r="C307" s="77"/>
      <c r="D307" s="77"/>
      <c r="E307" s="77"/>
      <c r="F307" s="77"/>
      <c r="G307" s="77"/>
      <c r="H307" s="77"/>
      <c r="I307" s="77"/>
      <c r="J307" s="77"/>
      <c r="K307" s="77"/>
      <c r="L307" s="77"/>
      <c r="M307" s="77"/>
      <c r="N307" s="77"/>
      <c r="O307" s="77"/>
      <c r="P307" s="77"/>
      <c r="Q307" s="77"/>
      <c r="R307" s="77"/>
      <c r="S307" s="77"/>
      <c r="T307" s="77"/>
      <c r="U307" s="77"/>
      <c r="V307" s="744"/>
      <c r="W307" s="744"/>
      <c r="X307" s="744"/>
      <c r="Y307" s="744"/>
      <c r="Z307" s="744"/>
      <c r="AA307" s="744"/>
      <c r="AB307" s="744"/>
      <c r="AC307" s="744"/>
      <c r="AD307" s="744"/>
      <c r="AE307" s="744"/>
      <c r="AF307" s="744"/>
      <c r="AG307" s="744"/>
      <c r="AH307" s="744"/>
      <c r="AI307" s="744"/>
      <c r="AJ307" s="744"/>
      <c r="AK307" s="744"/>
      <c r="AL307" s="744"/>
    </row>
    <row r="308" spans="1:38" s="16" customFormat="1" ht="17.25" customHeight="1" x14ac:dyDescent="0.2">
      <c r="A308" s="1165" t="s">
        <v>203</v>
      </c>
      <c r="B308" s="1166"/>
      <c r="C308" s="1167"/>
      <c r="D308" s="1143">
        <f>D219</f>
        <v>2018</v>
      </c>
      <c r="E308" s="1144"/>
      <c r="F308" s="1144"/>
      <c r="G308" s="1144"/>
      <c r="H308" s="1144"/>
      <c r="I308" s="1144"/>
      <c r="J308" s="1144"/>
      <c r="K308" s="1144"/>
      <c r="L308" s="1144"/>
      <c r="M308" s="1144"/>
      <c r="N308" s="1145"/>
      <c r="O308" s="1020">
        <f>O243</f>
        <v>2017</v>
      </c>
      <c r="P308" s="1021"/>
      <c r="Q308" s="1021"/>
      <c r="R308" s="1021"/>
      <c r="S308" s="1022"/>
      <c r="T308" s="1146" t="s">
        <v>191</v>
      </c>
      <c r="U308" s="1147"/>
      <c r="V308" s="23"/>
    </row>
    <row r="309" spans="1:38" s="16" customFormat="1" ht="15.75" customHeight="1" x14ac:dyDescent="0.2">
      <c r="A309" s="1168"/>
      <c r="B309" s="1169"/>
      <c r="C309" s="1170"/>
      <c r="D309" s="1020" t="s">
        <v>192</v>
      </c>
      <c r="E309" s="1021"/>
      <c r="F309" s="1021"/>
      <c r="G309" s="1021"/>
      <c r="H309" s="1021"/>
      <c r="I309" s="1022"/>
      <c r="J309" s="1020" t="s">
        <v>193</v>
      </c>
      <c r="K309" s="1021"/>
      <c r="L309" s="1021"/>
      <c r="M309" s="1021"/>
      <c r="N309" s="1022"/>
      <c r="O309" s="1020" t="s">
        <v>193</v>
      </c>
      <c r="P309" s="1021"/>
      <c r="Q309" s="1021"/>
      <c r="R309" s="1021"/>
      <c r="S309" s="1022"/>
      <c r="T309" s="1148"/>
      <c r="U309" s="1149"/>
      <c r="V309" s="23"/>
    </row>
    <row r="310" spans="1:38" s="16" customFormat="1" ht="33" customHeight="1" x14ac:dyDescent="0.2">
      <c r="A310" s="1150" t="s">
        <v>237</v>
      </c>
      <c r="B310" s="1151"/>
      <c r="C310" s="1152"/>
      <c r="D310" s="1153">
        <f>'[1]3.LRA'!D26</f>
        <v>0</v>
      </c>
      <c r="E310" s="1154"/>
      <c r="F310" s="1154"/>
      <c r="G310" s="1154"/>
      <c r="H310" s="1154"/>
      <c r="I310" s="1155"/>
      <c r="J310" s="1156">
        <f>'[1]3.LRA'!E26</f>
        <v>0</v>
      </c>
      <c r="K310" s="1157"/>
      <c r="L310" s="1157"/>
      <c r="M310" s="1157"/>
      <c r="N310" s="1158"/>
      <c r="O310" s="1159">
        <f>'[1]3.LRA'!I26</f>
        <v>0</v>
      </c>
      <c r="P310" s="1160"/>
      <c r="Q310" s="1160"/>
      <c r="R310" s="1160"/>
      <c r="S310" s="1161"/>
      <c r="T310" s="1133">
        <v>0</v>
      </c>
      <c r="U310" s="1134"/>
      <c r="V310" s="23"/>
    </row>
    <row r="311" spans="1:38" s="16" customFormat="1" ht="33.75" customHeight="1" x14ac:dyDescent="0.2">
      <c r="A311" s="1150" t="s">
        <v>238</v>
      </c>
      <c r="B311" s="1151"/>
      <c r="C311" s="1152"/>
      <c r="D311" s="1153">
        <f>'[1]3.LRA'!D27</f>
        <v>0</v>
      </c>
      <c r="E311" s="1154"/>
      <c r="F311" s="1154"/>
      <c r="G311" s="1154"/>
      <c r="H311" s="1154"/>
      <c r="I311" s="1155"/>
      <c r="J311" s="1156">
        <f>'[1]3.LRA'!E27</f>
        <v>0</v>
      </c>
      <c r="K311" s="1157"/>
      <c r="L311" s="1157"/>
      <c r="M311" s="1157"/>
      <c r="N311" s="1158"/>
      <c r="O311" s="1159">
        <f>'[1]3.LRA'!I27</f>
        <v>0</v>
      </c>
      <c r="P311" s="1160"/>
      <c r="Q311" s="1160"/>
      <c r="R311" s="1160"/>
      <c r="S311" s="1161"/>
      <c r="T311" s="1133">
        <v>0</v>
      </c>
      <c r="U311" s="1134"/>
      <c r="V311" s="23"/>
    </row>
    <row r="312" spans="1:38" s="16" customFormat="1" ht="33.75" customHeight="1" x14ac:dyDescent="0.2">
      <c r="A312" s="1150" t="s">
        <v>239</v>
      </c>
      <c r="B312" s="1151"/>
      <c r="C312" s="1152"/>
      <c r="D312" s="1153">
        <f>'[1]3.LRA'!D28</f>
        <v>0</v>
      </c>
      <c r="E312" s="1154"/>
      <c r="F312" s="1154"/>
      <c r="G312" s="1154"/>
      <c r="H312" s="1154"/>
      <c r="I312" s="1155"/>
      <c r="J312" s="1156">
        <f>'[1]3.LRA'!E28</f>
        <v>0</v>
      </c>
      <c r="K312" s="1157"/>
      <c r="L312" s="1157"/>
      <c r="M312" s="1157"/>
      <c r="N312" s="1158"/>
      <c r="O312" s="1159">
        <f>'[1]3.LRA'!I28</f>
        <v>0</v>
      </c>
      <c r="P312" s="1160"/>
      <c r="Q312" s="1160"/>
      <c r="R312" s="1160"/>
      <c r="S312" s="1161"/>
      <c r="T312" s="1133">
        <v>0</v>
      </c>
      <c r="U312" s="1134"/>
      <c r="V312" s="23"/>
    </row>
    <row r="313" spans="1:38" s="16" customFormat="1" ht="24" customHeight="1" x14ac:dyDescent="0.2">
      <c r="A313" s="1020" t="s">
        <v>240</v>
      </c>
      <c r="B313" s="1021"/>
      <c r="C313" s="1022"/>
      <c r="D313" s="1162">
        <f>SUM(D310:I312)</f>
        <v>0</v>
      </c>
      <c r="E313" s="1163"/>
      <c r="F313" s="1163"/>
      <c r="G313" s="1163"/>
      <c r="H313" s="1163"/>
      <c r="I313" s="1164"/>
      <c r="J313" s="1162">
        <f>SUM(J310:N312)</f>
        <v>0</v>
      </c>
      <c r="K313" s="1163"/>
      <c r="L313" s="1163"/>
      <c r="M313" s="1163"/>
      <c r="N313" s="1164"/>
      <c r="O313" s="1162">
        <f>SUM(O310:S312)</f>
        <v>0</v>
      </c>
      <c r="P313" s="1163"/>
      <c r="Q313" s="1163"/>
      <c r="R313" s="1163"/>
      <c r="S313" s="1164"/>
      <c r="T313" s="1133">
        <v>0</v>
      </c>
      <c r="U313" s="1134"/>
      <c r="V313" s="23"/>
    </row>
    <row r="314" spans="1:38" s="16" customFormat="1" ht="18" customHeight="1" x14ac:dyDescent="0.2">
      <c r="A314" s="14"/>
      <c r="B314" s="77" t="s">
        <v>241</v>
      </c>
      <c r="C314" s="77"/>
      <c r="D314" s="77"/>
      <c r="E314" s="77"/>
      <c r="F314" s="77"/>
      <c r="G314" s="77"/>
      <c r="H314" s="77"/>
      <c r="I314" s="77"/>
      <c r="J314" s="77"/>
      <c r="K314" s="77"/>
      <c r="L314" s="77"/>
      <c r="M314" s="77"/>
      <c r="N314" s="77"/>
      <c r="O314" s="77"/>
      <c r="P314" s="77"/>
      <c r="Q314" s="77"/>
      <c r="R314" s="77"/>
      <c r="S314" s="77"/>
      <c r="T314" s="37"/>
      <c r="U314" s="37"/>
      <c r="V314" s="23"/>
    </row>
    <row r="315" spans="1:38" s="16" customFormat="1" ht="18" customHeight="1" x14ac:dyDescent="0.2">
      <c r="A315" s="14"/>
      <c r="C315" s="78" t="s">
        <v>154</v>
      </c>
      <c r="D315" s="534" t="s">
        <v>242</v>
      </c>
      <c r="E315" s="534"/>
      <c r="F315" s="534"/>
      <c r="G315" s="534"/>
      <c r="H315" s="534"/>
      <c r="I315" s="534"/>
      <c r="J315" s="534"/>
      <c r="K315" s="534"/>
      <c r="L315" s="534"/>
      <c r="M315" s="534"/>
      <c r="N315" s="534"/>
      <c r="O315" s="534"/>
      <c r="P315" s="534"/>
      <c r="Q315" s="534"/>
      <c r="R315" s="534"/>
      <c r="S315" s="534"/>
      <c r="T315" s="534"/>
      <c r="U315" s="534"/>
      <c r="V315" s="23"/>
    </row>
    <row r="316" spans="1:38" s="16" customFormat="1" ht="31.5" customHeight="1" x14ac:dyDescent="0.2">
      <c r="A316" s="14"/>
      <c r="B316" s="89"/>
      <c r="D316" s="407" t="str">
        <f>"Lain-lain pendapatan yang sah per "&amp;'[1]2.ISIAN DATA SKPD'!D8&amp;" sebesar Rp. "&amp;FIXED(J324)&amp;""</f>
        <v>Lain-lain pendapatan yang sah per 31 Desember 2018 sebesar Rp. 0,00</v>
      </c>
      <c r="E316" s="407"/>
      <c r="F316" s="407"/>
      <c r="G316" s="407"/>
      <c r="H316" s="407"/>
      <c r="I316" s="407"/>
      <c r="J316" s="407"/>
      <c r="K316" s="407"/>
      <c r="L316" s="407"/>
      <c r="M316" s="407"/>
      <c r="N316" s="407"/>
      <c r="O316" s="407"/>
      <c r="P316" s="407"/>
      <c r="Q316" s="407"/>
      <c r="R316" s="407"/>
      <c r="S316" s="407"/>
      <c r="T316" s="407"/>
      <c r="U316" s="407"/>
      <c r="V316" s="23"/>
    </row>
    <row r="317" spans="1:38" s="16" customFormat="1" ht="30" customHeight="1" x14ac:dyDescent="0.2">
      <c r="A317" s="14"/>
      <c r="B317" s="89"/>
      <c r="D317" s="407" t="s">
        <v>243</v>
      </c>
      <c r="E317" s="407"/>
      <c r="F317" s="407"/>
      <c r="G317" s="407"/>
      <c r="H317" s="407"/>
      <c r="I317" s="407"/>
      <c r="J317" s="407"/>
      <c r="K317" s="407"/>
      <c r="L317" s="407"/>
      <c r="M317" s="407"/>
      <c r="N317" s="407"/>
      <c r="O317" s="407"/>
      <c r="P317" s="407"/>
      <c r="Q317" s="407"/>
      <c r="R317" s="407"/>
      <c r="S317" s="407"/>
      <c r="T317" s="407"/>
      <c r="U317" s="407"/>
      <c r="V317" s="23"/>
    </row>
    <row r="318" spans="1:38" s="16" customFormat="1" ht="15" customHeight="1" x14ac:dyDescent="0.2">
      <c r="A318" s="14"/>
      <c r="B318" s="89"/>
      <c r="D318" s="56"/>
      <c r="E318" s="56"/>
      <c r="F318" s="56"/>
      <c r="G318" s="56"/>
      <c r="H318" s="56"/>
      <c r="I318" s="56"/>
      <c r="J318" s="56"/>
      <c r="K318" s="56"/>
      <c r="L318" s="56"/>
      <c r="M318" s="56"/>
      <c r="N318" s="56"/>
      <c r="O318" s="56"/>
      <c r="P318" s="56"/>
      <c r="Q318" s="56"/>
      <c r="R318" s="56"/>
      <c r="S318" s="56"/>
      <c r="T318" s="56"/>
      <c r="U318" s="56"/>
      <c r="V318" s="23"/>
    </row>
    <row r="319" spans="1:38" s="16" customFormat="1" ht="18" customHeight="1" x14ac:dyDescent="0.2">
      <c r="A319" s="1041" t="str">
        <f>D315</f>
        <v>Lain-lain Pendapatan Yang Sah</v>
      </c>
      <c r="B319" s="1042"/>
      <c r="C319" s="1043"/>
      <c r="D319" s="1143">
        <f>D308</f>
        <v>2018</v>
      </c>
      <c r="E319" s="1144"/>
      <c r="F319" s="1144"/>
      <c r="G319" s="1144"/>
      <c r="H319" s="1144"/>
      <c r="I319" s="1144"/>
      <c r="J319" s="1144"/>
      <c r="K319" s="1144"/>
      <c r="L319" s="1144"/>
      <c r="M319" s="1144"/>
      <c r="N319" s="1145"/>
      <c r="O319" s="1020">
        <f>O308</f>
        <v>2017</v>
      </c>
      <c r="P319" s="1021"/>
      <c r="Q319" s="1021"/>
      <c r="R319" s="1021"/>
      <c r="S319" s="1022"/>
      <c r="T319" s="1146" t="s">
        <v>191</v>
      </c>
      <c r="U319" s="1147"/>
      <c r="V319" s="23"/>
    </row>
    <row r="320" spans="1:38" s="16" customFormat="1" ht="32.25" customHeight="1" x14ac:dyDescent="0.2">
      <c r="A320" s="1140"/>
      <c r="B320" s="1141"/>
      <c r="C320" s="1142"/>
      <c r="D320" s="1020" t="s">
        <v>192</v>
      </c>
      <c r="E320" s="1021"/>
      <c r="F320" s="1021"/>
      <c r="G320" s="1021"/>
      <c r="H320" s="1021"/>
      <c r="I320" s="1022"/>
      <c r="J320" s="1020" t="s">
        <v>193</v>
      </c>
      <c r="K320" s="1021"/>
      <c r="L320" s="1021"/>
      <c r="M320" s="1021"/>
      <c r="N320" s="1022"/>
      <c r="O320" s="1020" t="s">
        <v>193</v>
      </c>
      <c r="P320" s="1021"/>
      <c r="Q320" s="1021"/>
      <c r="R320" s="1021"/>
      <c r="S320" s="1022"/>
      <c r="T320" s="1148"/>
      <c r="U320" s="1149"/>
      <c r="V320" s="23"/>
    </row>
    <row r="321" spans="1:35" s="16" customFormat="1" ht="18" customHeight="1" x14ac:dyDescent="0.2">
      <c r="A321" s="630" t="str">
        <f>'[1]3.LRA'!C30</f>
        <v>Pendapatan Hibah</v>
      </c>
      <c r="B321" s="631"/>
      <c r="C321" s="632"/>
      <c r="D321" s="1124">
        <f>'[1]3.LRA'!D30</f>
        <v>0</v>
      </c>
      <c r="E321" s="1125"/>
      <c r="F321" s="1125"/>
      <c r="G321" s="1125"/>
      <c r="H321" s="1125"/>
      <c r="I321" s="1126"/>
      <c r="J321" s="1127">
        <f>'[1]3.LRA'!E30</f>
        <v>0</v>
      </c>
      <c r="K321" s="1128"/>
      <c r="L321" s="1128"/>
      <c r="M321" s="1128"/>
      <c r="N321" s="1129"/>
      <c r="O321" s="1130">
        <f>'[1]3.LRA'!I30</f>
        <v>0</v>
      </c>
      <c r="P321" s="1131"/>
      <c r="Q321" s="1131"/>
      <c r="R321" s="1131"/>
      <c r="S321" s="1132"/>
      <c r="T321" s="1133">
        <v>0</v>
      </c>
      <c r="U321" s="1134"/>
      <c r="V321" s="23"/>
    </row>
    <row r="322" spans="1:35" s="16" customFormat="1" ht="28.5" customHeight="1" x14ac:dyDescent="0.2">
      <c r="A322" s="630" t="str">
        <f>'[1]3.LRA'!C31</f>
        <v>Pendapatan Dana darurat</v>
      </c>
      <c r="B322" s="631"/>
      <c r="C322" s="632"/>
      <c r="D322" s="1124">
        <f>'[1]3.LRA'!D31</f>
        <v>0</v>
      </c>
      <c r="E322" s="1125"/>
      <c r="F322" s="1125"/>
      <c r="G322" s="1125"/>
      <c r="H322" s="1125"/>
      <c r="I322" s="1126"/>
      <c r="J322" s="1127">
        <f>'[1]3.LRA'!E31</f>
        <v>0</v>
      </c>
      <c r="K322" s="1128"/>
      <c r="L322" s="1128"/>
      <c r="M322" s="1128"/>
      <c r="N322" s="1129"/>
      <c r="O322" s="1130">
        <f>'[1]3.LRA'!I31</f>
        <v>0</v>
      </c>
      <c r="P322" s="1131"/>
      <c r="Q322" s="1131"/>
      <c r="R322" s="1131"/>
      <c r="S322" s="1132"/>
      <c r="T322" s="1133">
        <v>0</v>
      </c>
      <c r="U322" s="1134"/>
      <c r="V322" s="23"/>
    </row>
    <row r="323" spans="1:35" s="16" customFormat="1" ht="19.5" customHeight="1" x14ac:dyDescent="0.2">
      <c r="A323" s="630" t="str">
        <f>'[1]3.LRA'!C32</f>
        <v>Pendapatan Lainnya</v>
      </c>
      <c r="B323" s="631"/>
      <c r="C323" s="632"/>
      <c r="D323" s="1124">
        <f>'[1]3.LRA'!D32</f>
        <v>0</v>
      </c>
      <c r="E323" s="1125"/>
      <c r="F323" s="1125"/>
      <c r="G323" s="1125"/>
      <c r="H323" s="1125"/>
      <c r="I323" s="1126"/>
      <c r="J323" s="1127">
        <f>'[1]3.LRA'!E32</f>
        <v>0</v>
      </c>
      <c r="K323" s="1128"/>
      <c r="L323" s="1128"/>
      <c r="M323" s="1128"/>
      <c r="N323" s="1129"/>
      <c r="O323" s="1130">
        <f>'[1]3.LRA'!I32</f>
        <v>0</v>
      </c>
      <c r="P323" s="1131"/>
      <c r="Q323" s="1131"/>
      <c r="R323" s="1131"/>
      <c r="S323" s="1132"/>
      <c r="T323" s="1133">
        <v>0</v>
      </c>
      <c r="U323" s="1134"/>
      <c r="V323" s="23"/>
    </row>
    <row r="324" spans="1:35" s="16" customFormat="1" ht="21" customHeight="1" x14ac:dyDescent="0.2">
      <c r="A324" s="425" t="s">
        <v>205</v>
      </c>
      <c r="B324" s="426"/>
      <c r="C324" s="427"/>
      <c r="D324" s="1135">
        <f>SUM(D321:I323)</f>
        <v>0</v>
      </c>
      <c r="E324" s="1136"/>
      <c r="F324" s="1136"/>
      <c r="G324" s="1136"/>
      <c r="H324" s="1136"/>
      <c r="I324" s="1137"/>
      <c r="J324" s="1135">
        <f>SUM(J321:N323)</f>
        <v>0</v>
      </c>
      <c r="K324" s="1136"/>
      <c r="L324" s="1136"/>
      <c r="M324" s="1136"/>
      <c r="N324" s="1137"/>
      <c r="O324" s="1135">
        <f>SUM(O321:S323)</f>
        <v>0</v>
      </c>
      <c r="P324" s="1136"/>
      <c r="Q324" s="1136"/>
      <c r="R324" s="1136"/>
      <c r="S324" s="1137"/>
      <c r="T324" s="1138">
        <v>0</v>
      </c>
      <c r="U324" s="1139"/>
      <c r="V324" s="23"/>
    </row>
    <row r="325" spans="1:35" s="16" customFormat="1" ht="18" customHeight="1" x14ac:dyDescent="0.2">
      <c r="A325" s="14"/>
      <c r="B325" s="77"/>
      <c r="C325" s="77"/>
      <c r="D325" s="77"/>
      <c r="E325" s="407"/>
      <c r="F325" s="407"/>
      <c r="G325" s="407"/>
      <c r="H325" s="407"/>
      <c r="I325" s="407"/>
      <c r="J325" s="407"/>
      <c r="K325" s="407"/>
      <c r="L325" s="407"/>
      <c r="M325" s="407"/>
      <c r="N325" s="407"/>
      <c r="O325" s="407"/>
      <c r="P325" s="407"/>
      <c r="Q325" s="407"/>
      <c r="R325" s="407"/>
      <c r="S325" s="407"/>
      <c r="T325" s="407"/>
      <c r="U325" s="407"/>
      <c r="V325" s="23"/>
    </row>
    <row r="326" spans="1:35" s="16" customFormat="1" ht="18.75" customHeight="1" x14ac:dyDescent="0.2">
      <c r="A326" s="429"/>
      <c r="B326" s="90" t="s">
        <v>244</v>
      </c>
      <c r="C326" s="54" t="s">
        <v>134</v>
      </c>
      <c r="E326" s="54"/>
      <c r="F326" s="54"/>
      <c r="G326" s="23"/>
      <c r="H326" s="23"/>
      <c r="I326" s="23"/>
      <c r="J326" s="23"/>
      <c r="K326" s="23"/>
      <c r="L326" s="29"/>
      <c r="M326" s="29"/>
      <c r="N326" s="29"/>
      <c r="O326" s="29"/>
      <c r="P326" s="29"/>
      <c r="Q326" s="29"/>
      <c r="R326" s="29"/>
      <c r="S326" s="29"/>
      <c r="T326" s="20"/>
      <c r="U326" s="20"/>
      <c r="V326" s="23"/>
    </row>
    <row r="327" spans="1:35" s="16" customFormat="1" ht="78.75" customHeight="1" x14ac:dyDescent="0.2">
      <c r="A327" s="429"/>
      <c r="C327" s="407" t="s">
        <v>245</v>
      </c>
      <c r="D327" s="407"/>
      <c r="E327" s="407"/>
      <c r="F327" s="407"/>
      <c r="G327" s="407"/>
      <c r="H327" s="407"/>
      <c r="I327" s="407"/>
      <c r="J327" s="407"/>
      <c r="K327" s="407"/>
      <c r="L327" s="407"/>
      <c r="M327" s="407"/>
      <c r="N327" s="407"/>
      <c r="O327" s="407"/>
      <c r="P327" s="407"/>
      <c r="Q327" s="407"/>
      <c r="R327" s="407"/>
      <c r="S327" s="407"/>
      <c r="T327" s="407"/>
      <c r="U327" s="407"/>
      <c r="V327" s="23"/>
    </row>
    <row r="328" spans="1:35" s="16" customFormat="1" ht="32.25" customHeight="1" x14ac:dyDescent="0.2">
      <c r="A328" s="429"/>
      <c r="C328" s="407" t="str">
        <f>"Komposisi anggaran dan realisasi belanja TA "&amp;'[1]2.ISIAN DATA SKPD'!D11&amp;" dapat dilihat dalam grafik berikut ini:"</f>
        <v>Komposisi anggaran dan realisasi belanja TA 2018 dapat dilihat dalam grafik berikut ini:</v>
      </c>
      <c r="D328" s="407"/>
      <c r="E328" s="407"/>
      <c r="F328" s="407"/>
      <c r="G328" s="407"/>
      <c r="H328" s="407"/>
      <c r="I328" s="407"/>
      <c r="J328" s="407"/>
      <c r="K328" s="407"/>
      <c r="L328" s="407"/>
      <c r="M328" s="407"/>
      <c r="N328" s="407"/>
      <c r="O328" s="407"/>
      <c r="P328" s="407"/>
      <c r="Q328" s="407"/>
      <c r="R328" s="407"/>
      <c r="S328" s="407"/>
      <c r="T328" s="407"/>
      <c r="U328" s="407"/>
      <c r="V328" s="23"/>
    </row>
    <row r="329" spans="1:35" s="16" customFormat="1" ht="32.25" customHeight="1" x14ac:dyDescent="0.2">
      <c r="A329" s="429"/>
      <c r="C329" s="77"/>
      <c r="D329" s="77"/>
      <c r="E329" s="77"/>
      <c r="F329" s="77"/>
      <c r="G329" s="77"/>
      <c r="H329" s="77"/>
      <c r="I329" s="77"/>
      <c r="J329" s="77"/>
      <c r="K329" s="77"/>
      <c r="L329" s="77"/>
      <c r="M329" s="77"/>
      <c r="N329" s="77"/>
      <c r="O329" s="77"/>
      <c r="P329" s="77"/>
      <c r="Q329" s="77"/>
      <c r="R329" s="77"/>
      <c r="S329" s="77"/>
      <c r="T329" s="77"/>
      <c r="U329" s="77"/>
      <c r="V329" s="23"/>
    </row>
    <row r="330" spans="1:35" s="16" customFormat="1" ht="32.25" customHeight="1" x14ac:dyDescent="0.2">
      <c r="A330" s="429"/>
      <c r="C330" s="77"/>
      <c r="D330" s="77"/>
      <c r="E330" s="77"/>
      <c r="F330" s="77"/>
      <c r="G330" s="77"/>
      <c r="H330" s="77"/>
      <c r="I330" s="77"/>
      <c r="J330" s="77"/>
      <c r="K330" s="77"/>
      <c r="L330" s="77"/>
      <c r="M330" s="77"/>
      <c r="N330" s="77"/>
      <c r="O330" s="77"/>
      <c r="P330" s="77"/>
      <c r="Q330" s="77"/>
      <c r="R330" s="77"/>
      <c r="S330" s="77"/>
      <c r="T330" s="77"/>
      <c r="U330" s="77"/>
      <c r="V330" s="23"/>
    </row>
    <row r="331" spans="1:35" s="16" customFormat="1" ht="32.25" customHeight="1" x14ac:dyDescent="0.2">
      <c r="A331" s="429"/>
      <c r="C331" s="77"/>
      <c r="D331" s="77"/>
      <c r="E331" s="77"/>
      <c r="F331" s="77"/>
      <c r="G331" s="77"/>
      <c r="H331" s="77"/>
      <c r="I331" s="77"/>
      <c r="J331" s="77"/>
      <c r="K331" s="77"/>
      <c r="L331" s="77"/>
      <c r="M331" s="77"/>
      <c r="N331" s="77"/>
      <c r="O331" s="77"/>
      <c r="P331" s="77"/>
      <c r="Q331" s="77"/>
      <c r="R331" s="77"/>
      <c r="S331" s="77"/>
      <c r="T331" s="77"/>
      <c r="U331" s="77"/>
      <c r="V331" s="23"/>
    </row>
    <row r="332" spans="1:35" s="16" customFormat="1" ht="18.75" customHeight="1" x14ac:dyDescent="0.2">
      <c r="A332" s="429"/>
      <c r="C332" s="77"/>
      <c r="D332" s="77"/>
      <c r="E332" s="77"/>
      <c r="F332" s="77"/>
      <c r="G332" s="77"/>
      <c r="H332" s="77"/>
      <c r="I332" s="77"/>
      <c r="J332" s="77"/>
      <c r="K332" s="77"/>
      <c r="L332" s="77"/>
      <c r="M332" s="77"/>
      <c r="N332" s="77"/>
      <c r="O332" s="77"/>
      <c r="P332" s="77"/>
      <c r="Q332" s="77"/>
      <c r="R332" s="77"/>
      <c r="S332" s="77"/>
      <c r="T332" s="77"/>
      <c r="U332" s="77"/>
      <c r="V332" s="23"/>
    </row>
    <row r="333" spans="1:35" s="16" customFormat="1" ht="20.25" customHeight="1" x14ac:dyDescent="0.2">
      <c r="A333" s="429"/>
      <c r="C333" s="77"/>
      <c r="D333" s="77"/>
      <c r="E333" s="77"/>
      <c r="F333" s="77"/>
      <c r="G333" s="77"/>
      <c r="H333" s="77"/>
      <c r="I333" s="77"/>
      <c r="J333" s="77"/>
      <c r="K333" s="77"/>
      <c r="L333" s="77"/>
      <c r="M333" s="77"/>
      <c r="N333" s="77"/>
      <c r="O333" s="77"/>
      <c r="P333" s="77"/>
      <c r="Q333" s="77"/>
      <c r="R333" s="77"/>
      <c r="S333" s="77"/>
      <c r="T333" s="77"/>
      <c r="U333" s="77"/>
      <c r="V333" s="23"/>
    </row>
    <row r="334" spans="1:35" s="16" customFormat="1" ht="20.25" customHeight="1" x14ac:dyDescent="0.2">
      <c r="A334" s="429"/>
      <c r="C334" s="77"/>
      <c r="D334" s="77"/>
      <c r="E334" s="77"/>
      <c r="F334" s="77"/>
      <c r="G334" s="77"/>
      <c r="H334" s="77"/>
      <c r="I334" s="77"/>
      <c r="J334" s="77"/>
      <c r="K334" s="77"/>
      <c r="L334" s="77"/>
      <c r="M334" s="77"/>
      <c r="N334" s="77"/>
      <c r="O334" s="77"/>
      <c r="P334" s="77"/>
      <c r="Q334" s="77"/>
      <c r="R334" s="77"/>
      <c r="S334" s="77"/>
      <c r="T334" s="77"/>
      <c r="U334" s="77"/>
      <c r="V334" s="47"/>
      <c r="W334" s="42"/>
      <c r="X334" s="42"/>
      <c r="Y334" s="42"/>
      <c r="Z334" s="42"/>
      <c r="AA334" s="91"/>
      <c r="AB334" s="704" t="s">
        <v>192</v>
      </c>
      <c r="AC334" s="706"/>
      <c r="AD334" s="706"/>
      <c r="AE334" s="705"/>
      <c r="AF334" s="704" t="s">
        <v>246</v>
      </c>
      <c r="AG334" s="706"/>
      <c r="AH334" s="706"/>
      <c r="AI334" s="705"/>
    </row>
    <row r="335" spans="1:35" s="16" customFormat="1" ht="20.25" customHeight="1" x14ac:dyDescent="0.2">
      <c r="A335" s="429"/>
      <c r="C335" s="77"/>
      <c r="D335" s="77"/>
      <c r="E335" s="77"/>
      <c r="F335" s="77"/>
      <c r="G335" s="77"/>
      <c r="H335" s="77"/>
      <c r="I335" s="77"/>
      <c r="J335" s="77"/>
      <c r="K335" s="77"/>
      <c r="L335" s="77"/>
      <c r="M335" s="77"/>
      <c r="N335" s="77"/>
      <c r="O335" s="77"/>
      <c r="P335" s="77"/>
      <c r="Q335" s="77"/>
      <c r="R335" s="77"/>
      <c r="S335" s="77"/>
      <c r="T335" s="77"/>
      <c r="U335" s="77"/>
      <c r="V335" s="1116" t="str">
        <f>A349</f>
        <v>BELANJA OPERASI</v>
      </c>
      <c r="W335" s="1116"/>
      <c r="X335" s="1116"/>
      <c r="Y335" s="1116"/>
      <c r="Z335" s="1116"/>
      <c r="AA335" s="1117"/>
      <c r="AB335" s="1110">
        <f>E349</f>
        <v>11922982796</v>
      </c>
      <c r="AC335" s="1111"/>
      <c r="AD335" s="1111"/>
      <c r="AE335" s="1112"/>
      <c r="AF335" s="1113">
        <f>J349</f>
        <v>9662122630</v>
      </c>
      <c r="AG335" s="1114"/>
      <c r="AH335" s="1114"/>
      <c r="AI335" s="1115"/>
    </row>
    <row r="336" spans="1:35" s="16" customFormat="1" ht="21" customHeight="1" x14ac:dyDescent="0.2">
      <c r="A336" s="429"/>
      <c r="C336" s="77"/>
      <c r="D336" s="77"/>
      <c r="E336" s="77"/>
      <c r="F336" s="77"/>
      <c r="G336" s="77"/>
      <c r="H336" s="77"/>
      <c r="I336" s="77"/>
      <c r="J336" s="77"/>
      <c r="K336" s="77"/>
      <c r="L336" s="77"/>
      <c r="M336" s="77"/>
      <c r="N336" s="77"/>
      <c r="O336" s="77"/>
      <c r="P336" s="77"/>
      <c r="Q336" s="77"/>
      <c r="R336" s="77"/>
      <c r="S336" s="77"/>
      <c r="T336" s="77"/>
      <c r="U336" s="77"/>
      <c r="V336" s="1116" t="str">
        <f>A350</f>
        <v>BELANJA MODAL</v>
      </c>
      <c r="W336" s="1116"/>
      <c r="X336" s="1116"/>
      <c r="Y336" s="1116"/>
      <c r="Z336" s="1116"/>
      <c r="AA336" s="1117"/>
      <c r="AB336" s="1110">
        <f>E350</f>
        <v>15898136000</v>
      </c>
      <c r="AC336" s="1111"/>
      <c r="AD336" s="1111"/>
      <c r="AE336" s="1112"/>
      <c r="AF336" s="1113">
        <f>J350</f>
        <v>82667202576</v>
      </c>
      <c r="AG336" s="1114"/>
      <c r="AH336" s="1114"/>
      <c r="AI336" s="1115"/>
    </row>
    <row r="337" spans="1:35" s="16" customFormat="1" ht="21" customHeight="1" x14ac:dyDescent="0.2">
      <c r="A337" s="429"/>
      <c r="C337" s="77"/>
      <c r="D337" s="77"/>
      <c r="E337" s="77"/>
      <c r="F337" s="77"/>
      <c r="G337" s="77"/>
      <c r="H337" s="77"/>
      <c r="I337" s="77"/>
      <c r="J337" s="77"/>
      <c r="K337" s="77"/>
      <c r="L337" s="77"/>
      <c r="M337" s="77"/>
      <c r="N337" s="77"/>
      <c r="O337" s="77"/>
      <c r="P337" s="77"/>
      <c r="Q337" s="77"/>
      <c r="R337" s="77"/>
      <c r="S337" s="77"/>
      <c r="T337" s="77"/>
      <c r="U337" s="77"/>
      <c r="V337" s="1116" t="s">
        <v>2</v>
      </c>
      <c r="W337" s="1116"/>
      <c r="X337" s="1116"/>
      <c r="Y337" s="1116"/>
      <c r="Z337" s="1116"/>
      <c r="AA337" s="1117"/>
      <c r="AB337" s="1118">
        <f>E351</f>
        <v>0</v>
      </c>
      <c r="AC337" s="1119"/>
      <c r="AD337" s="1119"/>
      <c r="AE337" s="1120"/>
      <c r="AF337" s="1121">
        <f>J351</f>
        <v>0</v>
      </c>
      <c r="AG337" s="1122"/>
      <c r="AH337" s="1122"/>
      <c r="AI337" s="1123"/>
    </row>
    <row r="338" spans="1:35" s="16" customFormat="1" ht="21" customHeight="1" x14ac:dyDescent="0.2">
      <c r="A338" s="429"/>
      <c r="C338" s="77"/>
      <c r="D338" s="77"/>
      <c r="E338" s="77"/>
      <c r="F338" s="77"/>
      <c r="G338" s="77"/>
      <c r="H338" s="77"/>
      <c r="I338" s="77"/>
      <c r="J338" s="77"/>
      <c r="K338" s="77"/>
      <c r="L338" s="77"/>
      <c r="M338" s="77"/>
      <c r="N338" s="77"/>
      <c r="O338" s="77"/>
      <c r="P338" s="77"/>
      <c r="Q338" s="77"/>
      <c r="R338" s="77"/>
      <c r="S338" s="77"/>
      <c r="T338" s="77"/>
      <c r="U338" s="77"/>
      <c r="V338" s="1116" t="str">
        <f>A352</f>
        <v>TRANSFER</v>
      </c>
      <c r="W338" s="1116"/>
      <c r="X338" s="1116"/>
      <c r="Y338" s="1116"/>
      <c r="Z338" s="1116"/>
      <c r="AA338" s="1117"/>
      <c r="AB338" s="1118">
        <f>E352</f>
        <v>0</v>
      </c>
      <c r="AC338" s="1119"/>
      <c r="AD338" s="1119"/>
      <c r="AE338" s="1120"/>
      <c r="AF338" s="1121">
        <f>J352</f>
        <v>0</v>
      </c>
      <c r="AG338" s="1122"/>
      <c r="AH338" s="1122"/>
      <c r="AI338" s="1123"/>
    </row>
    <row r="339" spans="1:35" s="16" customFormat="1" ht="20.25" customHeight="1" x14ac:dyDescent="0.2">
      <c r="A339" s="429"/>
      <c r="C339" s="77"/>
      <c r="D339" s="77"/>
      <c r="E339" s="77"/>
      <c r="F339" s="77"/>
      <c r="G339" s="77"/>
      <c r="H339" s="77"/>
      <c r="I339" s="77"/>
      <c r="J339" s="77"/>
      <c r="K339" s="77"/>
      <c r="L339" s="77"/>
      <c r="M339" s="77"/>
      <c r="N339" s="77"/>
      <c r="O339" s="77"/>
      <c r="P339" s="77"/>
      <c r="Q339" s="77"/>
      <c r="R339" s="77"/>
      <c r="S339" s="77"/>
      <c r="T339" s="77"/>
      <c r="U339" s="77"/>
      <c r="V339" s="23"/>
    </row>
    <row r="340" spans="1:35" s="16" customFormat="1" ht="20.25" customHeight="1" x14ac:dyDescent="0.2">
      <c r="A340" s="429"/>
      <c r="C340" s="77"/>
      <c r="D340" s="77"/>
      <c r="E340" s="77"/>
      <c r="F340" s="77"/>
      <c r="G340" s="77"/>
      <c r="H340" s="77"/>
      <c r="I340" s="77"/>
      <c r="J340" s="77"/>
      <c r="K340" s="77"/>
      <c r="L340" s="77"/>
      <c r="M340" s="77"/>
      <c r="N340" s="77"/>
      <c r="O340" s="77"/>
      <c r="P340" s="77"/>
      <c r="Q340" s="77"/>
      <c r="R340" s="77"/>
      <c r="S340" s="77"/>
      <c r="T340" s="77"/>
      <c r="U340" s="77"/>
      <c r="V340" s="23"/>
    </row>
    <row r="341" spans="1:35" s="16" customFormat="1" ht="22.5" customHeight="1" x14ac:dyDescent="0.2">
      <c r="A341" s="429"/>
      <c r="C341" s="77"/>
      <c r="D341" s="77"/>
      <c r="E341" s="77"/>
      <c r="F341" s="77"/>
      <c r="G341" s="77"/>
      <c r="H341" s="77"/>
      <c r="I341" s="77"/>
      <c r="J341" s="77"/>
      <c r="K341" s="77"/>
      <c r="L341" s="77"/>
      <c r="M341" s="77"/>
      <c r="N341" s="77"/>
      <c r="O341" s="77"/>
      <c r="P341" s="77"/>
      <c r="Q341" s="77"/>
      <c r="R341" s="77"/>
      <c r="S341" s="77"/>
      <c r="T341" s="77"/>
      <c r="U341" s="77"/>
      <c r="V341" s="23"/>
    </row>
    <row r="342" spans="1:35" s="16" customFormat="1" ht="22.5" customHeight="1" x14ac:dyDescent="0.2">
      <c r="A342" s="429"/>
      <c r="C342" s="77"/>
      <c r="D342" s="77"/>
      <c r="E342" s="77"/>
      <c r="F342" s="77"/>
      <c r="G342" s="77"/>
      <c r="H342" s="77"/>
      <c r="I342" s="77"/>
      <c r="J342" s="77"/>
      <c r="K342" s="77"/>
      <c r="L342" s="77"/>
      <c r="M342" s="77"/>
      <c r="N342" s="77"/>
      <c r="O342" s="77"/>
      <c r="P342" s="77"/>
      <c r="Q342" s="77"/>
      <c r="R342" s="77"/>
      <c r="S342" s="77"/>
      <c r="T342" s="77"/>
      <c r="U342" s="77"/>
      <c r="V342" s="23"/>
    </row>
    <row r="343" spans="1:35" s="16" customFormat="1" ht="22.5" customHeight="1" x14ac:dyDescent="0.2">
      <c r="A343" s="429"/>
      <c r="C343" s="77"/>
      <c r="D343" s="77"/>
      <c r="E343" s="77"/>
      <c r="F343" s="77"/>
      <c r="G343" s="77"/>
      <c r="H343" s="77"/>
      <c r="I343" s="77"/>
      <c r="J343" s="77"/>
      <c r="K343" s="77"/>
      <c r="L343" s="77"/>
      <c r="M343" s="77"/>
      <c r="N343" s="77"/>
      <c r="O343" s="77"/>
      <c r="P343" s="77"/>
      <c r="Q343" s="77"/>
      <c r="R343" s="77"/>
      <c r="S343" s="77"/>
      <c r="T343" s="77"/>
      <c r="U343" s="77"/>
      <c r="V343" s="23"/>
    </row>
    <row r="344" spans="1:35" s="16" customFormat="1" ht="22.5" customHeight="1" x14ac:dyDescent="0.2">
      <c r="A344" s="429"/>
      <c r="C344" s="77"/>
      <c r="D344" s="77"/>
      <c r="E344" s="77"/>
      <c r="F344" s="77"/>
      <c r="G344" s="77"/>
      <c r="H344" s="77"/>
      <c r="I344" s="77"/>
      <c r="J344" s="77"/>
      <c r="K344" s="77"/>
      <c r="L344" s="77"/>
      <c r="M344" s="77"/>
      <c r="N344" s="77"/>
      <c r="O344" s="77"/>
      <c r="P344" s="77"/>
      <c r="Q344" s="77"/>
      <c r="R344" s="77"/>
      <c r="S344" s="77"/>
      <c r="T344" s="77"/>
      <c r="U344" s="77"/>
      <c r="V344" s="23"/>
    </row>
    <row r="345" spans="1:35" s="16" customFormat="1" ht="51" customHeight="1" x14ac:dyDescent="0.2">
      <c r="A345" s="429"/>
      <c r="C345" s="407" t="str">
        <f>"Secara garis besar anggaran dan realisasi belanja "&amp;'[1]2.ISIAN DATA SKPD'!D2&amp;" TA "&amp;'[1]2.ISIAN DATA SKPD'!D11&amp;" serta realisasi TA "&amp;'[1]2.ISIAN DATA SKPD'!D12&amp;" dapat disajikan sebagai berikut :"</f>
        <v>Secara garis besar anggaran dan realisasi belanja Dinas Pariwisata Dan Kebudayaan TA 2018 serta realisasi TA 2017 dapat disajikan sebagai berikut :</v>
      </c>
      <c r="D345" s="407"/>
      <c r="E345" s="407"/>
      <c r="F345" s="407"/>
      <c r="G345" s="407"/>
      <c r="H345" s="407"/>
      <c r="I345" s="407"/>
      <c r="J345" s="407"/>
      <c r="K345" s="407"/>
      <c r="L345" s="407"/>
      <c r="M345" s="407"/>
      <c r="N345" s="407"/>
      <c r="O345" s="407"/>
      <c r="P345" s="407"/>
      <c r="Q345" s="407"/>
      <c r="R345" s="407"/>
      <c r="S345" s="407"/>
      <c r="T345" s="407"/>
      <c r="U345" s="407"/>
      <c r="V345" s="23"/>
    </row>
    <row r="346" spans="1:35" s="16" customFormat="1" ht="12.75" customHeight="1" x14ac:dyDescent="0.2">
      <c r="A346" s="21"/>
      <c r="C346" s="77"/>
      <c r="D346" s="77"/>
      <c r="E346" s="77"/>
      <c r="F346" s="77"/>
      <c r="G346" s="77"/>
      <c r="H346" s="77"/>
      <c r="I346" s="77"/>
      <c r="J346" s="77"/>
      <c r="K346" s="77"/>
      <c r="L346" s="77"/>
      <c r="M346" s="77"/>
      <c r="N346" s="77"/>
      <c r="O346" s="77"/>
      <c r="P346" s="77"/>
      <c r="Q346" s="77"/>
      <c r="R346" s="77"/>
      <c r="S346" s="77"/>
      <c r="T346" s="77"/>
      <c r="U346" s="77"/>
      <c r="V346" s="23"/>
    </row>
    <row r="347" spans="1:35" s="16" customFormat="1" ht="18.75" customHeight="1" x14ac:dyDescent="0.2">
      <c r="A347" s="14"/>
      <c r="B347" s="490" t="str">
        <f>"Anggaran dan Realisasi Belanja Tahun Anggaran "&amp;'[1]2.ISIAN DATA SKPD'!D11&amp;""</f>
        <v>Anggaran dan Realisasi Belanja Tahun Anggaran 2018</v>
      </c>
      <c r="C347" s="490"/>
      <c r="D347" s="490"/>
      <c r="E347" s="490"/>
      <c r="F347" s="490"/>
      <c r="G347" s="490"/>
      <c r="H347" s="490"/>
      <c r="I347" s="490"/>
      <c r="J347" s="490"/>
      <c r="K347" s="490"/>
      <c r="L347" s="490"/>
      <c r="M347" s="490"/>
      <c r="N347" s="490"/>
      <c r="O347" s="490"/>
      <c r="P347" s="490"/>
      <c r="Q347" s="490"/>
      <c r="R347" s="490"/>
      <c r="S347" s="490"/>
      <c r="T347" s="490"/>
      <c r="U347" s="490"/>
      <c r="V347" s="23"/>
    </row>
    <row r="348" spans="1:35" s="16" customFormat="1" ht="27" customHeight="1" x14ac:dyDescent="0.2">
      <c r="A348" s="1032" t="s">
        <v>125</v>
      </c>
      <c r="B348" s="1032"/>
      <c r="C348" s="1032"/>
      <c r="D348" s="1032"/>
      <c r="E348" s="1020" t="s">
        <v>192</v>
      </c>
      <c r="F348" s="1021"/>
      <c r="G348" s="1021"/>
      <c r="H348" s="1021"/>
      <c r="I348" s="1022"/>
      <c r="J348" s="1020" t="str">
        <f>"Realisasi                      TA "&amp;'[1]2.ISIAN DATA SKPD'!D11&amp;""</f>
        <v>Realisasi                      TA 2018</v>
      </c>
      <c r="K348" s="1021"/>
      <c r="L348" s="1021"/>
      <c r="M348" s="1021"/>
      <c r="N348" s="1022"/>
      <c r="O348" s="1020" t="str">
        <f>"Realisasi                   TA "&amp;'[1]2.ISIAN DATA SKPD'!D12&amp;""</f>
        <v>Realisasi                   TA 2017</v>
      </c>
      <c r="P348" s="1021"/>
      <c r="Q348" s="1021"/>
      <c r="R348" s="1021"/>
      <c r="S348" s="1022"/>
      <c r="T348" s="1023" t="s">
        <v>247</v>
      </c>
      <c r="U348" s="1024"/>
      <c r="V348" s="810" t="s">
        <v>196</v>
      </c>
      <c r="W348" s="901"/>
      <c r="X348" s="901"/>
      <c r="Y348" s="1067" t="s">
        <v>195</v>
      </c>
      <c r="Z348" s="1063"/>
      <c r="AA348" s="1063"/>
      <c r="AB348" s="1063" t="s">
        <v>196</v>
      </c>
      <c r="AC348" s="1067" t="s">
        <v>197</v>
      </c>
      <c r="AD348" s="1063"/>
      <c r="AE348" s="1063"/>
      <c r="AF348" s="1063"/>
    </row>
    <row r="349" spans="1:35" s="16" customFormat="1" ht="15.75" customHeight="1" x14ac:dyDescent="0.2">
      <c r="A349" s="1060" t="str">
        <f>'[1]3.LRA'!C38</f>
        <v>BELANJA OPERASI</v>
      </c>
      <c r="B349" s="1060"/>
      <c r="C349" s="1060"/>
      <c r="D349" s="1060"/>
      <c r="E349" s="1087">
        <f>'[1]3.LRA'!D38</f>
        <v>11922982796</v>
      </c>
      <c r="F349" s="1074"/>
      <c r="G349" s="1074"/>
      <c r="H349" s="1074"/>
      <c r="I349" s="1075"/>
      <c r="J349" s="1087">
        <f>'[1]3.LRA'!E38</f>
        <v>9662122630</v>
      </c>
      <c r="K349" s="1074"/>
      <c r="L349" s="1074"/>
      <c r="M349" s="1074"/>
      <c r="N349" s="1075"/>
      <c r="O349" s="1076">
        <f>'[1]3.LRA'!I38</f>
        <v>8770653435</v>
      </c>
      <c r="P349" s="1077"/>
      <c r="Q349" s="1077"/>
      <c r="R349" s="1077"/>
      <c r="S349" s="1078"/>
      <c r="T349" s="1028">
        <f>(J349-O349)/O349*100</f>
        <v>10.164227803626584</v>
      </c>
      <c r="U349" s="1029"/>
      <c r="V349" s="810">
        <f>J349/E349*100</f>
        <v>81.037797297178955</v>
      </c>
      <c r="W349" s="901"/>
      <c r="X349" s="901"/>
      <c r="Y349" s="471">
        <f>E349-J349</f>
        <v>2260860166</v>
      </c>
      <c r="Z349" s="472"/>
      <c r="AA349" s="472"/>
      <c r="AB349" s="472"/>
      <c r="AC349" s="471">
        <f>J349-O349</f>
        <v>891469195</v>
      </c>
      <c r="AD349" s="472"/>
      <c r="AE349" s="472"/>
      <c r="AF349" s="472"/>
    </row>
    <row r="350" spans="1:35" s="16" customFormat="1" ht="15.75" customHeight="1" x14ac:dyDescent="0.2">
      <c r="A350" s="1060" t="str">
        <f>'[1]3.LRA'!C68</f>
        <v>BELANJA MODAL</v>
      </c>
      <c r="B350" s="1060"/>
      <c r="C350" s="1060"/>
      <c r="D350" s="1060"/>
      <c r="E350" s="1087">
        <f>'[1]3.LRA'!D68</f>
        <v>15898136000</v>
      </c>
      <c r="F350" s="1074"/>
      <c r="G350" s="1074"/>
      <c r="H350" s="1074"/>
      <c r="I350" s="1075"/>
      <c r="J350" s="1087">
        <f>'[1]3.LRA'!E68</f>
        <v>82667202576</v>
      </c>
      <c r="K350" s="1074"/>
      <c r="L350" s="1074"/>
      <c r="M350" s="1074"/>
      <c r="N350" s="1075"/>
      <c r="O350" s="1076">
        <f>'[1]3.LRA'!I68</f>
        <v>2488566000</v>
      </c>
      <c r="P350" s="1077"/>
      <c r="Q350" s="1077"/>
      <c r="R350" s="1077"/>
      <c r="S350" s="1078"/>
      <c r="T350" s="1028">
        <f>(J350-O350)/O350*100</f>
        <v>3221.8810582480032</v>
      </c>
      <c r="U350" s="1029"/>
      <c r="V350" s="810">
        <f>J350/E350*100</f>
        <v>519.98047177354624</v>
      </c>
      <c r="W350" s="901"/>
      <c r="X350" s="901"/>
      <c r="Y350" s="471">
        <f>E350-J350</f>
        <v>-66769066576</v>
      </c>
      <c r="Z350" s="472"/>
      <c r="AA350" s="472"/>
      <c r="AB350" s="472"/>
      <c r="AC350" s="471">
        <f>J350-O350</f>
        <v>80178636576</v>
      </c>
      <c r="AD350" s="472"/>
      <c r="AE350" s="472"/>
      <c r="AF350" s="472"/>
    </row>
    <row r="351" spans="1:35" s="16" customFormat="1" ht="15.75" customHeight="1" x14ac:dyDescent="0.2">
      <c r="A351" s="1060" t="str">
        <f>'[1]3.LRA'!C97</f>
        <v>BELANJA TAK TERDUGA</v>
      </c>
      <c r="B351" s="1060"/>
      <c r="C351" s="1060"/>
      <c r="D351" s="1060"/>
      <c r="E351" s="1087">
        <f>'[1]3.LRA'!D97</f>
        <v>0</v>
      </c>
      <c r="F351" s="1074"/>
      <c r="G351" s="1074"/>
      <c r="H351" s="1074"/>
      <c r="I351" s="1075"/>
      <c r="J351" s="1087">
        <f>'[1]3.LRA'!E97</f>
        <v>0</v>
      </c>
      <c r="K351" s="1074"/>
      <c r="L351" s="1074"/>
      <c r="M351" s="1074"/>
      <c r="N351" s="1075"/>
      <c r="O351" s="1076">
        <f>'[1]3.LRA'!I97</f>
        <v>0</v>
      </c>
      <c r="P351" s="1077"/>
      <c r="Q351" s="1077"/>
      <c r="R351" s="1077"/>
      <c r="S351" s="1078"/>
      <c r="T351" s="1028">
        <v>0</v>
      </c>
      <c r="U351" s="1029"/>
      <c r="V351" s="810" t="e">
        <f>J351/E351*100</f>
        <v>#DIV/0!</v>
      </c>
      <c r="W351" s="901"/>
      <c r="X351" s="901"/>
      <c r="Y351" s="471">
        <f>E351-J351</f>
        <v>0</v>
      </c>
      <c r="Z351" s="472"/>
      <c r="AA351" s="472"/>
      <c r="AB351" s="472"/>
      <c r="AC351" s="471">
        <f>J351-O351</f>
        <v>0</v>
      </c>
      <c r="AD351" s="472"/>
      <c r="AE351" s="472"/>
      <c r="AF351" s="472"/>
    </row>
    <row r="352" spans="1:35" s="16" customFormat="1" ht="15.75" customHeight="1" x14ac:dyDescent="0.2">
      <c r="A352" s="1060" t="str">
        <f>'[1]3.LRA'!C98</f>
        <v>TRANSFER</v>
      </c>
      <c r="B352" s="1060"/>
      <c r="C352" s="1060"/>
      <c r="D352" s="1060"/>
      <c r="E352" s="1087">
        <f>'[1]3.LRA'!D98</f>
        <v>0</v>
      </c>
      <c r="F352" s="1074"/>
      <c r="G352" s="1074"/>
      <c r="H352" s="1074"/>
      <c r="I352" s="1075"/>
      <c r="J352" s="1087">
        <f>'[1]3.LRA'!E98</f>
        <v>0</v>
      </c>
      <c r="K352" s="1074"/>
      <c r="L352" s="1074"/>
      <c r="M352" s="1074"/>
      <c r="N352" s="1075"/>
      <c r="O352" s="1076">
        <f>'[1]3.LRA'!I98</f>
        <v>0</v>
      </c>
      <c r="P352" s="1077"/>
      <c r="Q352" s="1077"/>
      <c r="R352" s="1077"/>
      <c r="S352" s="1078"/>
      <c r="T352" s="1028">
        <v>0</v>
      </c>
      <c r="U352" s="1029"/>
      <c r="V352" s="810" t="e">
        <f>J352/E352*100</f>
        <v>#DIV/0!</v>
      </c>
      <c r="W352" s="901"/>
      <c r="X352" s="901"/>
      <c r="Y352" s="471">
        <f>E352-J352</f>
        <v>0</v>
      </c>
      <c r="Z352" s="472"/>
      <c r="AA352" s="472"/>
      <c r="AB352" s="472"/>
      <c r="AC352" s="471">
        <f>J352-O352</f>
        <v>0</v>
      </c>
      <c r="AD352" s="472"/>
      <c r="AE352" s="472"/>
      <c r="AF352" s="472"/>
    </row>
    <row r="353" spans="1:32" s="16" customFormat="1" ht="15.75" customHeight="1" x14ac:dyDescent="0.2">
      <c r="A353" s="1109" t="s">
        <v>205</v>
      </c>
      <c r="B353" s="1109"/>
      <c r="C353" s="1109"/>
      <c r="D353" s="1109"/>
      <c r="E353" s="1090">
        <f>SUM(E349:I352)</f>
        <v>27821118796</v>
      </c>
      <c r="F353" s="1091"/>
      <c r="G353" s="1091"/>
      <c r="H353" s="1091"/>
      <c r="I353" s="1092"/>
      <c r="J353" s="1082">
        <f>SUM(J349:N352)</f>
        <v>92329325206</v>
      </c>
      <c r="K353" s="1083"/>
      <c r="L353" s="1083"/>
      <c r="M353" s="1083"/>
      <c r="N353" s="1084"/>
      <c r="O353" s="1090">
        <f>SUM(O349:S352)</f>
        <v>11259219435</v>
      </c>
      <c r="P353" s="1091"/>
      <c r="Q353" s="1091"/>
      <c r="R353" s="1091"/>
      <c r="S353" s="1092"/>
      <c r="T353" s="1085">
        <f>(J353-O353)/O353*100</f>
        <v>720.0330914502689</v>
      </c>
      <c r="U353" s="1086"/>
      <c r="V353" s="810">
        <f>J353/E353*100</f>
        <v>331.86776521465669</v>
      </c>
      <c r="W353" s="901"/>
      <c r="X353" s="901"/>
      <c r="Y353" s="471">
        <f>E353-J353</f>
        <v>-64508206410</v>
      </c>
      <c r="Z353" s="472"/>
      <c r="AA353" s="472"/>
      <c r="AB353" s="472"/>
      <c r="AC353" s="471">
        <f>J353-O353</f>
        <v>81070105771</v>
      </c>
      <c r="AD353" s="472"/>
      <c r="AE353" s="472"/>
      <c r="AF353" s="472"/>
    </row>
    <row r="354" spans="1:32" s="16" customFormat="1" ht="18.75" customHeight="1" x14ac:dyDescent="0.2">
      <c r="A354" s="14"/>
      <c r="B354" s="92"/>
      <c r="C354" s="92"/>
      <c r="D354" s="92"/>
      <c r="E354" s="92"/>
      <c r="F354" s="92"/>
      <c r="G354" s="92"/>
      <c r="H354" s="92"/>
      <c r="I354" s="92"/>
      <c r="J354" s="84"/>
      <c r="K354" s="93"/>
      <c r="L354" s="93"/>
      <c r="M354" s="93"/>
      <c r="N354" s="84"/>
      <c r="O354" s="93"/>
      <c r="P354" s="93"/>
      <c r="Q354" s="93"/>
      <c r="R354" s="94"/>
      <c r="S354" s="94"/>
      <c r="T354" s="94"/>
      <c r="U354" s="94"/>
      <c r="V354" s="23"/>
    </row>
    <row r="355" spans="1:32" s="16" customFormat="1" ht="50.25" customHeight="1" x14ac:dyDescent="0.2">
      <c r="A355" s="14"/>
      <c r="B355" s="532" t="str">
        <f>"Realisasi Belanja TA "&amp;'[1]2.ISIAN DATA SKPD'!D11&amp;" sebesar Rp. "&amp;FIXED(J353)&amp;" atau mencapai  "&amp;FIXED(V353)&amp;"% dari anggaran belanja yang telah ditetapkan sebesar Rp. "&amp;FIXED(E353)&amp;"  kurang dari anggaran sebesar Rp. "&amp;FIXED(Y353)&amp;"."</f>
        <v>Realisasi Belanja TA 2018 sebesar Rp. 92.329.325.206,00 atau mencapai  331,87% dari anggaran belanja yang telah ditetapkan sebesar Rp. 27.821.118.796,00  kurang dari anggaran sebesar Rp. -64.508.206.410,00.</v>
      </c>
      <c r="C355" s="532"/>
      <c r="D355" s="532"/>
      <c r="E355" s="532"/>
      <c r="F355" s="532"/>
      <c r="G355" s="532"/>
      <c r="H355" s="532"/>
      <c r="I355" s="532"/>
      <c r="J355" s="532"/>
      <c r="K355" s="532"/>
      <c r="L355" s="532"/>
      <c r="M355" s="532"/>
      <c r="N355" s="532"/>
      <c r="O355" s="532"/>
      <c r="P355" s="532"/>
      <c r="Q355" s="532"/>
      <c r="R355" s="532"/>
      <c r="S355" s="532"/>
      <c r="T355" s="532"/>
      <c r="U355" s="532"/>
      <c r="V355" s="23"/>
    </row>
    <row r="356" spans="1:32" s="16" customFormat="1" ht="52.5" customHeight="1" x14ac:dyDescent="0.2">
      <c r="A356" s="14"/>
      <c r="B356" s="532" t="str">
        <f>"Bila dibandingkan dengan TA "&amp;'[1]2.ISIAN DATA SKPD'!D12&amp;", Realisasi Belanja TA "&amp;'[1]2.ISIAN DATA SKPD'!D11&amp;" mengalami kenaikan sebesar Rp. "&amp;FIXED(AC353)&amp;"  atau "&amp;FIXED(T353)&amp;"%. Hal ini disebabkan antara lain:"</f>
        <v>Bila dibandingkan dengan TA 2017, Realisasi Belanja TA 2018 mengalami kenaikan sebesar Rp. 81.070.105.771,00  atau 720,03%. Hal ini disebabkan antara lain:</v>
      </c>
      <c r="C356" s="532"/>
      <c r="D356" s="532"/>
      <c r="E356" s="532"/>
      <c r="F356" s="532"/>
      <c r="G356" s="532"/>
      <c r="H356" s="532"/>
      <c r="I356" s="532"/>
      <c r="J356" s="532"/>
      <c r="K356" s="532"/>
      <c r="L356" s="532"/>
      <c r="M356" s="532"/>
      <c r="N356" s="532"/>
      <c r="O356" s="532"/>
      <c r="P356" s="532"/>
      <c r="Q356" s="532"/>
      <c r="R356" s="532"/>
      <c r="S356" s="532"/>
      <c r="T356" s="532"/>
      <c r="U356" s="532"/>
      <c r="V356" s="23"/>
    </row>
    <row r="357" spans="1:32" s="16" customFormat="1" ht="33.75" customHeight="1" x14ac:dyDescent="0.2">
      <c r="A357" s="14"/>
      <c r="B357" s="36" t="s">
        <v>160</v>
      </c>
      <c r="C357" s="408" t="s">
        <v>248</v>
      </c>
      <c r="D357" s="408"/>
      <c r="E357" s="408"/>
      <c r="F357" s="408"/>
      <c r="G357" s="408"/>
      <c r="H357" s="408"/>
      <c r="I357" s="408"/>
      <c r="J357" s="408"/>
      <c r="K357" s="408"/>
      <c r="L357" s="408"/>
      <c r="M357" s="408"/>
      <c r="N357" s="408"/>
      <c r="O357" s="408"/>
      <c r="P357" s="408"/>
      <c r="Q357" s="408"/>
      <c r="R357" s="408"/>
      <c r="S357" s="408"/>
      <c r="T357" s="408"/>
      <c r="U357" s="95"/>
      <c r="V357" s="23"/>
    </row>
    <row r="358" spans="1:32" s="16" customFormat="1" ht="34.5" customHeight="1" x14ac:dyDescent="0.2">
      <c r="A358" s="14"/>
      <c r="B358" s="36" t="s">
        <v>153</v>
      </c>
      <c r="C358" s="408" t="s">
        <v>249</v>
      </c>
      <c r="D358" s="408"/>
      <c r="E358" s="408"/>
      <c r="F358" s="408"/>
      <c r="G358" s="408"/>
      <c r="H358" s="408"/>
      <c r="I358" s="408"/>
      <c r="J358" s="408"/>
      <c r="K358" s="408"/>
      <c r="L358" s="408"/>
      <c r="M358" s="408"/>
      <c r="N358" s="408"/>
      <c r="O358" s="408"/>
      <c r="P358" s="408"/>
      <c r="Q358" s="408"/>
      <c r="R358" s="408"/>
      <c r="S358" s="408"/>
      <c r="T358" s="408"/>
      <c r="U358" s="96"/>
      <c r="V358" s="23"/>
    </row>
    <row r="359" spans="1:32" s="16" customFormat="1" ht="31.5" customHeight="1" x14ac:dyDescent="0.2">
      <c r="A359" s="14"/>
      <c r="B359" s="35" t="s">
        <v>154</v>
      </c>
      <c r="C359" s="402" t="s">
        <v>250</v>
      </c>
      <c r="D359" s="402"/>
      <c r="E359" s="402"/>
      <c r="F359" s="402"/>
      <c r="G359" s="402"/>
      <c r="H359" s="402"/>
      <c r="I359" s="402"/>
      <c r="J359" s="402"/>
      <c r="K359" s="402"/>
      <c r="L359" s="402"/>
      <c r="M359" s="402"/>
      <c r="N359" s="402"/>
      <c r="O359" s="402"/>
      <c r="P359" s="402"/>
      <c r="Q359" s="402"/>
      <c r="R359" s="402"/>
      <c r="S359" s="402"/>
      <c r="T359" s="402"/>
      <c r="U359" s="96"/>
      <c r="V359" s="23"/>
    </row>
    <row r="360" spans="1:32" s="16" customFormat="1" ht="31.5" customHeight="1" x14ac:dyDescent="0.2">
      <c r="A360" s="14"/>
      <c r="B360" s="35"/>
      <c r="C360" s="97"/>
      <c r="D360" s="97"/>
      <c r="E360" s="97"/>
      <c r="F360" s="97"/>
      <c r="G360" s="97"/>
      <c r="H360" s="97"/>
      <c r="I360" s="97"/>
      <c r="J360" s="97"/>
      <c r="K360" s="97"/>
      <c r="L360" s="97"/>
      <c r="M360" s="97"/>
      <c r="N360" s="97"/>
      <c r="O360" s="97"/>
      <c r="P360" s="97"/>
      <c r="Q360" s="97"/>
      <c r="R360" s="97"/>
      <c r="S360" s="97"/>
      <c r="T360" s="97"/>
      <c r="U360" s="96"/>
      <c r="V360" s="23"/>
    </row>
    <row r="361" spans="1:32" s="16" customFormat="1" ht="31.5" customHeight="1" x14ac:dyDescent="0.2">
      <c r="A361" s="14"/>
      <c r="B361" s="35"/>
      <c r="C361" s="97"/>
      <c r="D361" s="97"/>
      <c r="E361" s="97"/>
      <c r="F361" s="97"/>
      <c r="G361" s="97"/>
      <c r="H361" s="97"/>
      <c r="I361" s="97"/>
      <c r="J361" s="97"/>
      <c r="K361" s="97"/>
      <c r="L361" s="97"/>
      <c r="M361" s="97"/>
      <c r="N361" s="97"/>
      <c r="O361" s="97"/>
      <c r="P361" s="97"/>
      <c r="Q361" s="97"/>
      <c r="R361" s="97"/>
      <c r="S361" s="97"/>
      <c r="T361" s="97"/>
      <c r="U361" s="96"/>
      <c r="V361" s="23"/>
    </row>
    <row r="362" spans="1:32" s="16" customFormat="1" ht="31.5" customHeight="1" x14ac:dyDescent="0.2">
      <c r="A362" s="14"/>
      <c r="B362" s="35"/>
      <c r="C362" s="97"/>
      <c r="D362" s="97"/>
      <c r="E362" s="97"/>
      <c r="F362" s="97"/>
      <c r="G362" s="97"/>
      <c r="H362" s="97"/>
      <c r="I362" s="97"/>
      <c r="J362" s="97"/>
      <c r="K362" s="97"/>
      <c r="L362" s="97"/>
      <c r="M362" s="97"/>
      <c r="N362" s="97"/>
      <c r="O362" s="97"/>
      <c r="P362" s="97"/>
      <c r="Q362" s="97"/>
      <c r="R362" s="97"/>
      <c r="S362" s="97"/>
      <c r="T362" s="97"/>
      <c r="U362" s="96"/>
      <c r="V362" s="23"/>
    </row>
    <row r="363" spans="1:32" s="16" customFormat="1" ht="18" customHeight="1" x14ac:dyDescent="0.2">
      <c r="A363" s="14"/>
      <c r="B363" s="36"/>
      <c r="C363" s="37"/>
      <c r="D363" s="37"/>
      <c r="E363" s="37"/>
      <c r="F363" s="37"/>
      <c r="G363" s="37"/>
      <c r="H363" s="37"/>
      <c r="I363" s="37"/>
      <c r="J363" s="37"/>
      <c r="K363" s="37"/>
      <c r="L363" s="37"/>
      <c r="M363" s="37"/>
      <c r="N363" s="37"/>
      <c r="O363" s="37"/>
      <c r="P363" s="37"/>
      <c r="Q363" s="37"/>
      <c r="R363" s="37"/>
      <c r="S363" s="37"/>
      <c r="T363" s="37"/>
      <c r="U363" s="96"/>
      <c r="V363" s="23"/>
    </row>
    <row r="364" spans="1:32" s="16" customFormat="1" ht="33" customHeight="1" x14ac:dyDescent="0.2">
      <c r="A364" s="14"/>
      <c r="B364" s="532" t="str">
        <f>"Berikut uraian lebih lanjut realisasi belanja "&amp;'[1]2.ISIAN DATA SKPD'!D2&amp;" TA "&amp;'[1]2.ISIAN DATA SKPD'!D11&amp;"."</f>
        <v>Berikut uraian lebih lanjut realisasi belanja Dinas Pariwisata Dan Kebudayaan TA 2018.</v>
      </c>
      <c r="C364" s="532"/>
      <c r="D364" s="532"/>
      <c r="E364" s="532"/>
      <c r="F364" s="532"/>
      <c r="G364" s="532"/>
      <c r="H364" s="532"/>
      <c r="I364" s="532"/>
      <c r="J364" s="532"/>
      <c r="K364" s="532"/>
      <c r="L364" s="532"/>
      <c r="M364" s="532"/>
      <c r="N364" s="532"/>
      <c r="O364" s="532"/>
      <c r="P364" s="532"/>
      <c r="Q364" s="532"/>
      <c r="R364" s="532"/>
      <c r="S364" s="532"/>
      <c r="T364" s="532"/>
      <c r="U364" s="532"/>
      <c r="V364" s="23"/>
    </row>
    <row r="365" spans="1:32" s="16" customFormat="1" ht="24.75" customHeight="1" x14ac:dyDescent="0.2">
      <c r="A365" s="429"/>
      <c r="B365" s="19" t="s">
        <v>47</v>
      </c>
      <c r="C365" s="19" t="s">
        <v>251</v>
      </c>
      <c r="D365" s="87"/>
      <c r="E365" s="19"/>
      <c r="F365" s="19"/>
      <c r="G365" s="19"/>
      <c r="H365" s="54"/>
      <c r="I365" s="35"/>
      <c r="J365" s="35"/>
      <c r="K365" s="35"/>
      <c r="L365" s="20"/>
      <c r="M365" s="20"/>
      <c r="N365" s="20"/>
      <c r="O365" s="20"/>
      <c r="P365" s="20"/>
      <c r="Q365" s="20"/>
      <c r="R365" s="20"/>
      <c r="S365" s="20"/>
      <c r="T365" s="20"/>
      <c r="U365" s="20"/>
      <c r="V365" s="23"/>
    </row>
    <row r="366" spans="1:32" s="16" customFormat="1" ht="48.75" customHeight="1" x14ac:dyDescent="0.2">
      <c r="A366" s="429"/>
      <c r="B366" s="19"/>
      <c r="C366" s="532" t="str">
        <f>"Belanja Operasi TA "&amp;'[1]2.ISIAN DATA SKPD'!D11&amp;" dapat direalisasi sebesar Rp. "&amp;(FIXED('[1]Calk Umum'!J374)&amp;" atau mencapai "&amp;FIXED(V371)&amp;"% dari anggaran yang telah ditetapkan sebesar Rp. "&amp;FIXED(E374)&amp;", kurang dari anggaran sebesar Rp. "&amp;FIXED(Y371)&amp;".")</f>
        <v>Belanja Operasi TA 2018 dapat direalisasi sebesar Rp. 9.662.122.630,00 atau mencapai 76,42% dari anggaran yang telah ditetapkan sebesar Rp. 11.922.982.796,00, kurang dari anggaran sebesar Rp. 1.727.037.557,00.</v>
      </c>
      <c r="D366" s="532"/>
      <c r="E366" s="532"/>
      <c r="F366" s="532"/>
      <c r="G366" s="532"/>
      <c r="H366" s="532"/>
      <c r="I366" s="532"/>
      <c r="J366" s="532"/>
      <c r="K366" s="532"/>
      <c r="L366" s="532"/>
      <c r="M366" s="532"/>
      <c r="N366" s="532"/>
      <c r="O366" s="532"/>
      <c r="P366" s="532"/>
      <c r="Q366" s="532"/>
      <c r="R366" s="532"/>
      <c r="S366" s="532"/>
      <c r="T366" s="532"/>
      <c r="U366" s="532"/>
      <c r="V366" s="23"/>
    </row>
    <row r="367" spans="1:32" s="16" customFormat="1" ht="30.75" customHeight="1" x14ac:dyDescent="0.2">
      <c r="A367" s="21"/>
      <c r="C367" s="532" t="str">
        <f>"Anggaran dan Realisasi Belanja Operasi TA "&amp;'[1]2.ISIAN DATA SKPD'!D11&amp;" serta TA "&amp;'[1]2.ISIAN DATA SKPD'!D12&amp;" sebagai berikut :"</f>
        <v>Anggaran dan Realisasi Belanja Operasi TA 2018 serta TA 2017 sebagai berikut :</v>
      </c>
      <c r="D367" s="532"/>
      <c r="E367" s="532"/>
      <c r="F367" s="532"/>
      <c r="G367" s="532"/>
      <c r="H367" s="532"/>
      <c r="I367" s="532"/>
      <c r="J367" s="532"/>
      <c r="K367" s="532"/>
      <c r="L367" s="532"/>
      <c r="M367" s="532"/>
      <c r="N367" s="532"/>
      <c r="O367" s="532"/>
      <c r="P367" s="532"/>
      <c r="Q367" s="532"/>
      <c r="R367" s="532"/>
      <c r="S367" s="532"/>
      <c r="T367" s="532"/>
      <c r="U367" s="532"/>
      <c r="V367" s="23"/>
    </row>
    <row r="368" spans="1:32" s="16" customFormat="1" ht="18" customHeight="1" x14ac:dyDescent="0.2">
      <c r="A368" s="21"/>
      <c r="B368" s="407"/>
      <c r="C368" s="407"/>
      <c r="D368" s="407"/>
      <c r="E368" s="407"/>
      <c r="F368" s="407"/>
      <c r="G368" s="407"/>
      <c r="H368" s="407"/>
      <c r="I368" s="407"/>
      <c r="J368" s="407"/>
      <c r="K368" s="407"/>
      <c r="L368" s="407"/>
      <c r="M368" s="407"/>
      <c r="N368" s="407"/>
      <c r="O368" s="407"/>
      <c r="P368" s="407"/>
      <c r="Q368" s="407"/>
      <c r="R368" s="407"/>
      <c r="S368" s="407"/>
      <c r="T368" s="407"/>
      <c r="U368" s="77"/>
      <c r="V368" s="23"/>
    </row>
    <row r="369" spans="1:32" s="16" customFormat="1" ht="30" customHeight="1" x14ac:dyDescent="0.2">
      <c r="A369" s="1106" t="s">
        <v>251</v>
      </c>
      <c r="B369" s="1107"/>
      <c r="C369" s="1107"/>
      <c r="D369" s="1108"/>
      <c r="E369" s="1020" t="s">
        <v>192</v>
      </c>
      <c r="F369" s="1021"/>
      <c r="G369" s="1021"/>
      <c r="H369" s="1021"/>
      <c r="I369" s="1022"/>
      <c r="J369" s="1020" t="str">
        <f>J348</f>
        <v>Realisasi                      TA 2018</v>
      </c>
      <c r="K369" s="1021"/>
      <c r="L369" s="1021"/>
      <c r="M369" s="1021"/>
      <c r="N369" s="1022"/>
      <c r="O369" s="1020" t="str">
        <f>O348</f>
        <v>Realisasi                   TA 2017</v>
      </c>
      <c r="P369" s="1021"/>
      <c r="Q369" s="1021"/>
      <c r="R369" s="1021"/>
      <c r="S369" s="1022"/>
      <c r="T369" s="1023" t="s">
        <v>247</v>
      </c>
      <c r="U369" s="1024"/>
      <c r="V369" s="810" t="s">
        <v>196</v>
      </c>
      <c r="W369" s="901"/>
      <c r="X369" s="901"/>
      <c r="Y369" s="1067" t="s">
        <v>195</v>
      </c>
      <c r="Z369" s="1063"/>
      <c r="AA369" s="1063"/>
      <c r="AB369" s="1063" t="s">
        <v>196</v>
      </c>
      <c r="AC369" s="1067" t="s">
        <v>197</v>
      </c>
      <c r="AD369" s="1063"/>
      <c r="AE369" s="1063"/>
      <c r="AF369" s="1063"/>
    </row>
    <row r="370" spans="1:32" s="16" customFormat="1" ht="20.25" customHeight="1" x14ac:dyDescent="0.2">
      <c r="A370" s="1033" t="str">
        <f>'[1]3.LRA'!C39</f>
        <v>Belanja Pegawai</v>
      </c>
      <c r="B370" s="1033"/>
      <c r="C370" s="1033"/>
      <c r="D370" s="1033"/>
      <c r="E370" s="1097">
        <f>'[1]3.LRA'!D39</f>
        <v>4598610078</v>
      </c>
      <c r="F370" s="1098"/>
      <c r="G370" s="1098"/>
      <c r="H370" s="1098"/>
      <c r="I370" s="1099"/>
      <c r="J370" s="1100">
        <f>'[1]3.LRA'!E39</f>
        <v>4064787469</v>
      </c>
      <c r="K370" s="1101"/>
      <c r="L370" s="1101"/>
      <c r="M370" s="1101"/>
      <c r="N370" s="1102"/>
      <c r="O370" s="1103">
        <f>'[1]3.LRA'!I39</f>
        <v>3809977007</v>
      </c>
      <c r="P370" s="1104"/>
      <c r="Q370" s="1104"/>
      <c r="R370" s="1104"/>
      <c r="S370" s="1105"/>
      <c r="T370" s="1028">
        <f>(J370-O370)/O370*100</f>
        <v>6.6879789965094663</v>
      </c>
      <c r="U370" s="1029"/>
      <c r="V370" s="810">
        <f>J370/E370*100</f>
        <v>88.391653131152907</v>
      </c>
      <c r="W370" s="901"/>
      <c r="X370" s="901"/>
      <c r="Y370" s="471">
        <f>E370-J370</f>
        <v>533822609</v>
      </c>
      <c r="Z370" s="472"/>
      <c r="AA370" s="472"/>
      <c r="AB370" s="472"/>
      <c r="AC370" s="1088">
        <f>J370-O370</f>
        <v>254810462</v>
      </c>
      <c r="AD370" s="1089"/>
      <c r="AE370" s="1089"/>
      <c r="AF370" s="1089"/>
    </row>
    <row r="371" spans="1:32" s="16" customFormat="1" ht="20.25" customHeight="1" x14ac:dyDescent="0.2">
      <c r="A371" s="1033" t="str">
        <f>'[1]3.LRA'!C47</f>
        <v xml:space="preserve">Belanja Barang </v>
      </c>
      <c r="B371" s="1033"/>
      <c r="C371" s="1033"/>
      <c r="D371" s="1033"/>
      <c r="E371" s="1097">
        <f>'[1]3.LRA'!D47</f>
        <v>7324372718</v>
      </c>
      <c r="F371" s="1098"/>
      <c r="G371" s="1098"/>
      <c r="H371" s="1098"/>
      <c r="I371" s="1099"/>
      <c r="J371" s="1100">
        <f>'[1]3.LRA'!E47</f>
        <v>5597335161</v>
      </c>
      <c r="K371" s="1101"/>
      <c r="L371" s="1101"/>
      <c r="M371" s="1101"/>
      <c r="N371" s="1102"/>
      <c r="O371" s="1064">
        <f>'[1]3.LRA'!I47</f>
        <v>4960676428</v>
      </c>
      <c r="P371" s="1065"/>
      <c r="Q371" s="1065"/>
      <c r="R371" s="1065"/>
      <c r="S371" s="1066"/>
      <c r="T371" s="1028">
        <f>(J371-O371)/O371*100</f>
        <v>12.834111279793396</v>
      </c>
      <c r="U371" s="1029"/>
      <c r="V371" s="810">
        <f>J371/E371*100</f>
        <v>76.42067623407911</v>
      </c>
      <c r="W371" s="901"/>
      <c r="X371" s="901"/>
      <c r="Y371" s="471">
        <f>E371-J371</f>
        <v>1727037557</v>
      </c>
      <c r="Z371" s="472"/>
      <c r="AA371" s="472"/>
      <c r="AB371" s="472"/>
      <c r="AC371" s="1088">
        <f>J371-O371</f>
        <v>636658733</v>
      </c>
      <c r="AD371" s="1089"/>
      <c r="AE371" s="1089"/>
      <c r="AF371" s="1089"/>
    </row>
    <row r="372" spans="1:32" s="16" customFormat="1" ht="20.25" customHeight="1" x14ac:dyDescent="0.2">
      <c r="A372" s="1033" t="s">
        <v>252</v>
      </c>
      <c r="B372" s="1033"/>
      <c r="C372" s="1033"/>
      <c r="D372" s="1033"/>
      <c r="E372" s="1097">
        <f>'[1]3.LRA'!D60</f>
        <v>2520000000</v>
      </c>
      <c r="F372" s="1098"/>
      <c r="G372" s="1098"/>
      <c r="H372" s="1098"/>
      <c r="I372" s="1099"/>
      <c r="J372" s="1100">
        <f>'[1]3.LRA'!E60</f>
        <v>954935000</v>
      </c>
      <c r="K372" s="1101"/>
      <c r="L372" s="1101"/>
      <c r="M372" s="1101"/>
      <c r="N372" s="1102"/>
      <c r="O372" s="1064">
        <v>0</v>
      </c>
      <c r="P372" s="1065"/>
      <c r="Q372" s="1065"/>
      <c r="R372" s="1065"/>
      <c r="S372" s="1066"/>
      <c r="T372" s="1028">
        <v>100</v>
      </c>
      <c r="U372" s="1029"/>
      <c r="V372" s="810">
        <f>J372/E372*100</f>
        <v>37.894246031746029</v>
      </c>
      <c r="W372" s="901"/>
      <c r="X372" s="901"/>
      <c r="Y372" s="471">
        <f>E372-J372</f>
        <v>1565065000</v>
      </c>
      <c r="Z372" s="472"/>
      <c r="AA372" s="472"/>
      <c r="AB372" s="472"/>
      <c r="AC372" s="1088">
        <f>J372-O372</f>
        <v>954935000</v>
      </c>
      <c r="AD372" s="1089"/>
      <c r="AE372" s="1089"/>
      <c r="AF372" s="1089"/>
    </row>
    <row r="373" spans="1:32" s="16" customFormat="1" ht="20.25" customHeight="1" x14ac:dyDescent="0.2">
      <c r="A373" s="1033" t="s">
        <v>253</v>
      </c>
      <c r="B373" s="1033"/>
      <c r="C373" s="1033"/>
      <c r="D373" s="1033"/>
      <c r="E373" s="1097">
        <f>'[1]3.LRA'!D61</f>
        <v>109000000</v>
      </c>
      <c r="F373" s="1098"/>
      <c r="G373" s="1098"/>
      <c r="H373" s="1098"/>
      <c r="I373" s="1099"/>
      <c r="J373" s="1100">
        <f>'[1]3.LRA'!E61</f>
        <v>109000000</v>
      </c>
      <c r="K373" s="1101"/>
      <c r="L373" s="1101"/>
      <c r="M373" s="1101"/>
      <c r="N373" s="1102"/>
      <c r="O373" s="1064">
        <v>0</v>
      </c>
      <c r="P373" s="1065"/>
      <c r="Q373" s="1065"/>
      <c r="R373" s="1065"/>
      <c r="S373" s="1066"/>
      <c r="T373" s="1028">
        <v>100</v>
      </c>
      <c r="U373" s="1029"/>
      <c r="V373" s="810">
        <f>J373/E373*100</f>
        <v>100</v>
      </c>
      <c r="W373" s="901"/>
      <c r="X373" s="901"/>
      <c r="Y373" s="471">
        <f>E373-J373</f>
        <v>0</v>
      </c>
      <c r="Z373" s="472"/>
      <c r="AA373" s="472"/>
      <c r="AB373" s="472"/>
      <c r="AC373" s="1088">
        <f>J373-O373</f>
        <v>109000000</v>
      </c>
      <c r="AD373" s="1089"/>
      <c r="AE373" s="1089"/>
      <c r="AF373" s="1089"/>
    </row>
    <row r="374" spans="1:32" s="16" customFormat="1" ht="20.25" customHeight="1" x14ac:dyDescent="0.2">
      <c r="A374" s="1096" t="s">
        <v>205</v>
      </c>
      <c r="B374" s="1096"/>
      <c r="C374" s="1096"/>
      <c r="D374" s="1096"/>
      <c r="E374" s="823">
        <f>SUM(E370:I371)</f>
        <v>11922982796</v>
      </c>
      <c r="F374" s="1046"/>
      <c r="G374" s="1046"/>
      <c r="H374" s="1046"/>
      <c r="I374" s="1047"/>
      <c r="J374" s="823">
        <f>SUM(J370:N371)</f>
        <v>9662122630</v>
      </c>
      <c r="K374" s="1046"/>
      <c r="L374" s="1046"/>
      <c r="M374" s="1046"/>
      <c r="N374" s="1047"/>
      <c r="O374" s="823">
        <f>SUM(O370:S371)</f>
        <v>8770653435</v>
      </c>
      <c r="P374" s="1046"/>
      <c r="Q374" s="1046"/>
      <c r="R374" s="1046"/>
      <c r="S374" s="1047"/>
      <c r="T374" s="1085">
        <f>(J374-O374)/O374*100</f>
        <v>10.164227803626584</v>
      </c>
      <c r="U374" s="1086"/>
      <c r="V374" s="810">
        <f>J374/E374*100</f>
        <v>81.037797297178955</v>
      </c>
      <c r="W374" s="901"/>
      <c r="X374" s="901"/>
      <c r="Y374" s="471">
        <f>E374-J374</f>
        <v>2260860166</v>
      </c>
      <c r="Z374" s="472"/>
      <c r="AA374" s="472"/>
      <c r="AB374" s="472"/>
      <c r="AC374" s="1088">
        <f>J374-O374</f>
        <v>891469195</v>
      </c>
      <c r="AD374" s="1089"/>
      <c r="AE374" s="1089"/>
      <c r="AF374" s="1089"/>
    </row>
    <row r="375" spans="1:32" s="16" customFormat="1" ht="17.25" customHeight="1" x14ac:dyDescent="0.2">
      <c r="A375" s="21"/>
      <c r="B375" s="98"/>
      <c r="C375" s="98"/>
      <c r="D375" s="98"/>
      <c r="J375" s="99"/>
      <c r="K375" s="100"/>
      <c r="L375" s="100"/>
      <c r="M375" s="100"/>
      <c r="N375" s="100"/>
      <c r="O375" s="99"/>
      <c r="P375" s="100"/>
      <c r="Q375" s="100"/>
      <c r="R375" s="100"/>
      <c r="S375" s="100"/>
      <c r="T375" s="101"/>
      <c r="U375" s="102"/>
      <c r="V375" s="23"/>
    </row>
    <row r="376" spans="1:32" s="16" customFormat="1" ht="47.25" customHeight="1" x14ac:dyDescent="0.2">
      <c r="A376" s="21"/>
      <c r="B376" s="98"/>
      <c r="C376" s="532" t="str">
        <f>"Bila dibandingkan dengan TA "&amp;'[1]2.ISIAN DATA SKPD'!D12&amp;", Realisasi Belanja Operasi TA "&amp;'[1]2.ISIAN DATA SKPD'!D11&amp;" mengalami kenaikan sebesar Rp. "&amp;FIXED(AC374)&amp;"  atau "&amp;FIXED(T374)&amp;"%."</f>
        <v>Bila dibandingkan dengan TA 2017, Realisasi Belanja Operasi TA 2018 mengalami kenaikan sebesar Rp. 891.469.195,00  atau 10,16%.</v>
      </c>
      <c r="D376" s="532"/>
      <c r="E376" s="532"/>
      <c r="F376" s="532"/>
      <c r="G376" s="532"/>
      <c r="H376" s="532"/>
      <c r="I376" s="532"/>
      <c r="J376" s="532"/>
      <c r="K376" s="532"/>
      <c r="L376" s="532"/>
      <c r="M376" s="532"/>
      <c r="N376" s="532"/>
      <c r="O376" s="532"/>
      <c r="P376" s="532"/>
      <c r="Q376" s="532"/>
      <c r="R376" s="532"/>
      <c r="S376" s="532"/>
      <c r="T376" s="532"/>
      <c r="U376" s="532"/>
      <c r="V376" s="23"/>
    </row>
    <row r="377" spans="1:32" s="16" customFormat="1" ht="19.5" customHeight="1" x14ac:dyDescent="0.2">
      <c r="A377" s="21"/>
      <c r="C377" s="532" t="s">
        <v>254</v>
      </c>
      <c r="D377" s="532"/>
      <c r="E377" s="532"/>
      <c r="F377" s="532"/>
      <c r="G377" s="532"/>
      <c r="H377" s="532"/>
      <c r="I377" s="532"/>
      <c r="J377" s="532"/>
      <c r="K377" s="532"/>
      <c r="L377" s="532"/>
      <c r="M377" s="532"/>
      <c r="N377" s="532"/>
      <c r="O377" s="532"/>
      <c r="P377" s="532"/>
      <c r="Q377" s="532"/>
      <c r="R377" s="532"/>
      <c r="S377" s="532"/>
      <c r="T377" s="532"/>
      <c r="U377" s="532"/>
      <c r="V377" s="23"/>
    </row>
    <row r="378" spans="1:32" s="16" customFormat="1" ht="20.25" customHeight="1" x14ac:dyDescent="0.2">
      <c r="A378" s="21"/>
      <c r="C378" s="534" t="s">
        <v>255</v>
      </c>
      <c r="D378" s="534"/>
      <c r="E378" s="534"/>
      <c r="F378" s="534"/>
      <c r="G378" s="534"/>
      <c r="H378" s="534"/>
      <c r="I378" s="534"/>
      <c r="J378" s="534"/>
      <c r="K378" s="534"/>
      <c r="L378" s="534"/>
      <c r="M378" s="534"/>
      <c r="N378" s="534"/>
      <c r="O378" s="534"/>
      <c r="P378" s="534"/>
      <c r="Q378" s="534"/>
      <c r="R378" s="534"/>
      <c r="S378" s="534"/>
      <c r="T378" s="534"/>
      <c r="U378" s="534"/>
      <c r="V378" s="23"/>
    </row>
    <row r="379" spans="1:32" s="16" customFormat="1" ht="106.5" customHeight="1" x14ac:dyDescent="0.2">
      <c r="A379" s="14"/>
      <c r="D379" s="407" t="s">
        <v>256</v>
      </c>
      <c r="E379" s="407"/>
      <c r="F379" s="407"/>
      <c r="G379" s="407"/>
      <c r="H379" s="407"/>
      <c r="I379" s="407"/>
      <c r="J379" s="407"/>
      <c r="K379" s="407"/>
      <c r="L379" s="407"/>
      <c r="M379" s="407"/>
      <c r="N379" s="407"/>
      <c r="O379" s="407"/>
      <c r="P379" s="407"/>
      <c r="Q379" s="407"/>
      <c r="R379" s="407"/>
      <c r="S379" s="407"/>
      <c r="T379" s="407"/>
      <c r="U379" s="407"/>
      <c r="V379" s="23"/>
    </row>
    <row r="380" spans="1:32" s="16" customFormat="1" ht="66" customHeight="1" x14ac:dyDescent="0.2">
      <c r="A380" s="14"/>
      <c r="D380" s="407" t="str">
        <f>"Belanja Pegawai pada pos Belanja Operasi TA. "&amp;'[1]2.ISIAN DATA SKPD'!D11&amp;" dapat direalisasikan sebesar Rp. "&amp;FIXED(J394)&amp;" atau "&amp;FIXED(V394)&amp;"% dari anggaran sebesar Rp. "&amp;FIXED(E394)&amp;" kurang dari anggaran sebesar Rp. "&amp;FIXED(Y394)&amp;""</f>
        <v>Belanja Pegawai pada pos Belanja Operasi TA. 2018 dapat direalisasikan sebesar Rp. 4.064.787.469,00 atau 88,39% dari anggaran sebesar Rp. 4.598.610.078,00 kurang dari anggaran sebesar Rp. 533.822.609,00</v>
      </c>
      <c r="E380" s="407"/>
      <c r="F380" s="407"/>
      <c r="G380" s="407"/>
      <c r="H380" s="407"/>
      <c r="I380" s="407"/>
      <c r="J380" s="407"/>
      <c r="K380" s="407"/>
      <c r="L380" s="407"/>
      <c r="M380" s="407"/>
      <c r="N380" s="407"/>
      <c r="O380" s="407"/>
      <c r="P380" s="407"/>
      <c r="Q380" s="407"/>
      <c r="R380" s="407"/>
      <c r="S380" s="407"/>
      <c r="T380" s="407"/>
      <c r="U380" s="407"/>
      <c r="V380" s="23"/>
    </row>
    <row r="381" spans="1:32" s="16" customFormat="1" ht="66" customHeight="1" x14ac:dyDescent="0.2">
      <c r="A381" s="14"/>
      <c r="D381" s="77"/>
      <c r="E381" s="77"/>
      <c r="F381" s="77"/>
      <c r="G381" s="77"/>
      <c r="H381" s="77"/>
      <c r="I381" s="77"/>
      <c r="J381" s="77"/>
      <c r="K381" s="77"/>
      <c r="L381" s="77"/>
      <c r="M381" s="77"/>
      <c r="N381" s="77"/>
      <c r="O381" s="77"/>
      <c r="P381" s="77"/>
      <c r="Q381" s="77"/>
      <c r="R381" s="77"/>
      <c r="S381" s="77"/>
      <c r="T381" s="77"/>
      <c r="U381" s="77"/>
      <c r="V381" s="23"/>
    </row>
    <row r="382" spans="1:32" s="16" customFormat="1" ht="66" customHeight="1" x14ac:dyDescent="0.2">
      <c r="A382" s="14"/>
      <c r="D382" s="77"/>
      <c r="E382" s="77"/>
      <c r="F382" s="77"/>
      <c r="G382" s="77"/>
      <c r="H382" s="77"/>
      <c r="I382" s="77"/>
      <c r="J382" s="77"/>
      <c r="K382" s="77"/>
      <c r="L382" s="77"/>
      <c r="M382" s="77"/>
      <c r="N382" s="77"/>
      <c r="O382" s="77"/>
      <c r="P382" s="77"/>
      <c r="Q382" s="77"/>
      <c r="R382" s="77"/>
      <c r="S382" s="77"/>
      <c r="T382" s="77"/>
      <c r="U382" s="77"/>
      <c r="V382" s="23"/>
    </row>
    <row r="383" spans="1:32" s="16" customFormat="1" ht="25.5" customHeight="1" x14ac:dyDescent="0.2">
      <c r="A383" s="14"/>
      <c r="D383" s="77"/>
      <c r="E383" s="77"/>
      <c r="F383" s="77"/>
      <c r="G383" s="77"/>
      <c r="H383" s="77"/>
      <c r="I383" s="77"/>
      <c r="J383" s="77"/>
      <c r="K383" s="77"/>
      <c r="L383" s="77"/>
      <c r="M383" s="77"/>
      <c r="N383" s="77"/>
      <c r="O383" s="77"/>
      <c r="P383" s="77"/>
      <c r="Q383" s="77"/>
      <c r="R383" s="77"/>
      <c r="S383" s="77"/>
      <c r="T383" s="77"/>
      <c r="U383" s="77"/>
      <c r="V383" s="23"/>
    </row>
    <row r="384" spans="1:32" s="16" customFormat="1" ht="13.5" customHeight="1" x14ac:dyDescent="0.2">
      <c r="A384" s="14"/>
      <c r="D384" s="103"/>
      <c r="E384" s="103"/>
      <c r="F384" s="103"/>
      <c r="G384" s="103"/>
      <c r="H384" s="103"/>
      <c r="I384" s="103"/>
      <c r="J384" s="103"/>
      <c r="K384" s="103"/>
      <c r="L384" s="103"/>
      <c r="M384" s="103"/>
      <c r="N384" s="103"/>
      <c r="O384" s="103"/>
      <c r="P384" s="103"/>
      <c r="Q384" s="103"/>
      <c r="R384" s="103"/>
      <c r="S384" s="103"/>
      <c r="T384" s="103"/>
      <c r="U384" s="103"/>
      <c r="V384" s="23"/>
    </row>
    <row r="385" spans="1:38" s="16" customFormat="1" ht="22.5" customHeight="1" x14ac:dyDescent="0.2">
      <c r="A385" s="14"/>
      <c r="B385" s="452" t="str">
        <f>"Perbandingan Belanja Pegawai TA "&amp;'[1]2.ISIAN DATA SKPD'!D11&amp;" dan "&amp;'[1]2.ISIAN DATA SKPD'!D12&amp;""</f>
        <v>Perbandingan Belanja Pegawai TA 2018 dan 2017</v>
      </c>
      <c r="C385" s="452"/>
      <c r="D385" s="452"/>
      <c r="E385" s="452"/>
      <c r="F385" s="452"/>
      <c r="G385" s="452"/>
      <c r="H385" s="452"/>
      <c r="I385" s="452"/>
      <c r="J385" s="452"/>
      <c r="K385" s="452"/>
      <c r="L385" s="452"/>
      <c r="M385" s="452"/>
      <c r="N385" s="452"/>
      <c r="O385" s="452"/>
      <c r="P385" s="452"/>
      <c r="Q385" s="452"/>
      <c r="R385" s="452"/>
      <c r="S385" s="452"/>
      <c r="T385" s="452"/>
      <c r="U385" s="452"/>
      <c r="V385" s="23"/>
    </row>
    <row r="386" spans="1:38" s="16" customFormat="1" ht="28.5" customHeight="1" x14ac:dyDescent="0.2">
      <c r="A386" s="1032" t="s">
        <v>1</v>
      </c>
      <c r="B386" s="1032"/>
      <c r="C386" s="1032"/>
      <c r="D386" s="1032"/>
      <c r="E386" s="1021" t="s">
        <v>192</v>
      </c>
      <c r="F386" s="1021"/>
      <c r="G386" s="1021"/>
      <c r="H386" s="1021"/>
      <c r="I386" s="1022"/>
      <c r="J386" s="1020" t="str">
        <f>J348</f>
        <v>Realisasi                      TA 2018</v>
      </c>
      <c r="K386" s="1021"/>
      <c r="L386" s="1021"/>
      <c r="M386" s="1021"/>
      <c r="N386" s="1022"/>
      <c r="O386" s="1020" t="str">
        <f>O348</f>
        <v>Realisasi                   TA 2017</v>
      </c>
      <c r="P386" s="1021"/>
      <c r="Q386" s="1021"/>
      <c r="R386" s="1021"/>
      <c r="S386" s="1022"/>
      <c r="T386" s="1023" t="s">
        <v>247</v>
      </c>
      <c r="U386" s="1024"/>
      <c r="V386" s="810" t="s">
        <v>196</v>
      </c>
      <c r="W386" s="901"/>
      <c r="X386" s="901"/>
      <c r="Y386" s="1067" t="s">
        <v>195</v>
      </c>
      <c r="Z386" s="1063"/>
      <c r="AA386" s="1063"/>
      <c r="AB386" s="1063" t="s">
        <v>196</v>
      </c>
      <c r="AC386" s="1067" t="s">
        <v>197</v>
      </c>
      <c r="AD386" s="1063"/>
      <c r="AE386" s="1063"/>
      <c r="AF386" s="1063"/>
    </row>
    <row r="387" spans="1:38" s="16" customFormat="1" ht="27.75" customHeight="1" x14ac:dyDescent="0.2">
      <c r="A387" s="1033" t="str">
        <f>'[1]3.LRA'!C40</f>
        <v xml:space="preserve"> Gaji dan Tunjangan Pegawai</v>
      </c>
      <c r="B387" s="1033"/>
      <c r="C387" s="1033"/>
      <c r="D387" s="1033"/>
      <c r="E387" s="1074">
        <f>'[1]3.LRA'!D40</f>
        <v>1963437315</v>
      </c>
      <c r="F387" s="1074"/>
      <c r="G387" s="1074"/>
      <c r="H387" s="1074"/>
      <c r="I387" s="1075"/>
      <c r="J387" s="1074">
        <f>'[1]3.LRA'!E40</f>
        <v>1774703000</v>
      </c>
      <c r="K387" s="1074"/>
      <c r="L387" s="1074"/>
      <c r="M387" s="1074"/>
      <c r="N387" s="1075"/>
      <c r="O387" s="1093">
        <f>'[1]3.LRA'!I40</f>
        <v>2218640757</v>
      </c>
      <c r="P387" s="1094"/>
      <c r="Q387" s="1094"/>
      <c r="R387" s="1094"/>
      <c r="S387" s="1095"/>
      <c r="T387" s="1028">
        <f>(J387-O387)/O387*100</f>
        <v>-20.009447478116442</v>
      </c>
      <c r="U387" s="1029"/>
      <c r="V387" s="810">
        <f t="shared" ref="V387:V394" si="7">J387/E387*100</f>
        <v>90.387555866534001</v>
      </c>
      <c r="W387" s="901"/>
      <c r="X387" s="901"/>
      <c r="Y387" s="471">
        <f t="shared" ref="Y387:Y394" si="8">E387-J387</f>
        <v>188734315</v>
      </c>
      <c r="Z387" s="472"/>
      <c r="AA387" s="472"/>
      <c r="AB387" s="472"/>
      <c r="AC387" s="1088">
        <f t="shared" ref="AC387:AC394" si="9">J387-O387</f>
        <v>-443937757</v>
      </c>
      <c r="AD387" s="1089"/>
      <c r="AE387" s="1089"/>
      <c r="AF387" s="1089"/>
    </row>
    <row r="388" spans="1:38" s="16" customFormat="1" ht="15.75" customHeight="1" x14ac:dyDescent="0.2">
      <c r="A388" s="1033" t="str">
        <f>'[1]3.LRA'!C41</f>
        <v>Tambahan Penghasilan PNS</v>
      </c>
      <c r="B388" s="1033"/>
      <c r="C388" s="1033"/>
      <c r="D388" s="1033"/>
      <c r="E388" s="1074">
        <f>'[1]3.LRA'!D41</f>
        <v>2200505763</v>
      </c>
      <c r="F388" s="1074"/>
      <c r="G388" s="1074"/>
      <c r="H388" s="1074"/>
      <c r="I388" s="1075"/>
      <c r="J388" s="1074">
        <f>'[1]3.LRA'!E41</f>
        <v>1935671269</v>
      </c>
      <c r="K388" s="1074"/>
      <c r="L388" s="1074"/>
      <c r="M388" s="1074"/>
      <c r="N388" s="1075"/>
      <c r="O388" s="1093">
        <f>'[1]3.LRA'!I41</f>
        <v>1280611250</v>
      </c>
      <c r="P388" s="1094"/>
      <c r="Q388" s="1094"/>
      <c r="R388" s="1094"/>
      <c r="S388" s="1095"/>
      <c r="T388" s="1028">
        <f t="shared" ref="T388:T394" si="10">(J388-O388)/O388*100</f>
        <v>51.152136840903125</v>
      </c>
      <c r="U388" s="1029"/>
      <c r="V388" s="810">
        <f t="shared" si="7"/>
        <v>87.96483524592341</v>
      </c>
      <c r="W388" s="901"/>
      <c r="X388" s="901"/>
      <c r="Y388" s="471">
        <f t="shared" si="8"/>
        <v>264834494</v>
      </c>
      <c r="Z388" s="472"/>
      <c r="AA388" s="472"/>
      <c r="AB388" s="472"/>
      <c r="AC388" s="1088">
        <f t="shared" si="9"/>
        <v>655060019</v>
      </c>
      <c r="AD388" s="1089"/>
      <c r="AE388" s="1089"/>
      <c r="AF388" s="1089"/>
    </row>
    <row r="389" spans="1:38" s="16" customFormat="1" ht="17.25" customHeight="1" x14ac:dyDescent="0.2">
      <c r="A389" s="1033" t="str">
        <f>'[1]3.LRA'!C42</f>
        <v xml:space="preserve"> Insentif Pemungutan Pajak</v>
      </c>
      <c r="B389" s="1033"/>
      <c r="C389" s="1033"/>
      <c r="D389" s="1033"/>
      <c r="E389" s="1074">
        <f>'[1]3.LRA'!D42</f>
        <v>0</v>
      </c>
      <c r="F389" s="1074"/>
      <c r="G389" s="1074"/>
      <c r="H389" s="1074"/>
      <c r="I389" s="1075"/>
      <c r="J389" s="1074">
        <f>'[1]3.LRA'!E42</f>
        <v>0</v>
      </c>
      <c r="K389" s="1074"/>
      <c r="L389" s="1074"/>
      <c r="M389" s="1074"/>
      <c r="N389" s="1075"/>
      <c r="O389" s="1093">
        <f>'[1]3.LRA'!I42</f>
        <v>0</v>
      </c>
      <c r="P389" s="1094"/>
      <c r="Q389" s="1094"/>
      <c r="R389" s="1094"/>
      <c r="S389" s="1095"/>
      <c r="T389" s="1028">
        <v>0</v>
      </c>
      <c r="U389" s="1029"/>
      <c r="V389" s="810" t="e">
        <f t="shared" si="7"/>
        <v>#DIV/0!</v>
      </c>
      <c r="W389" s="901"/>
      <c r="X389" s="901"/>
      <c r="Y389" s="471">
        <f t="shared" si="8"/>
        <v>0</v>
      </c>
      <c r="Z389" s="472"/>
      <c r="AA389" s="472"/>
      <c r="AB389" s="472"/>
      <c r="AC389" s="1088">
        <f t="shared" si="9"/>
        <v>0</v>
      </c>
      <c r="AD389" s="1089"/>
      <c r="AE389" s="1089"/>
      <c r="AF389" s="1089"/>
    </row>
    <row r="390" spans="1:38" s="104" customFormat="1" ht="32.25" customHeight="1" x14ac:dyDescent="0.2">
      <c r="A390" s="1033" t="str">
        <f>'[1]3.LRA'!C43</f>
        <v>Insentif Pemungutan Retribusi</v>
      </c>
      <c r="B390" s="1033"/>
      <c r="C390" s="1033"/>
      <c r="D390" s="1033"/>
      <c r="E390" s="1074">
        <f>'[1]3.LRA'!D43</f>
        <v>185650000</v>
      </c>
      <c r="F390" s="1074"/>
      <c r="G390" s="1074"/>
      <c r="H390" s="1074"/>
      <c r="I390" s="1075"/>
      <c r="J390" s="1074">
        <f>'[1]3.LRA'!E43</f>
        <v>147438200</v>
      </c>
      <c r="K390" s="1074"/>
      <c r="L390" s="1074"/>
      <c r="M390" s="1074"/>
      <c r="N390" s="1075"/>
      <c r="O390" s="1093">
        <f>'[1]3.LRA'!I43</f>
        <v>130121000</v>
      </c>
      <c r="P390" s="1094"/>
      <c r="Q390" s="1094"/>
      <c r="R390" s="1094"/>
      <c r="S390" s="1095"/>
      <c r="T390" s="1028">
        <v>100</v>
      </c>
      <c r="U390" s="1029"/>
      <c r="V390" s="810">
        <f t="shared" si="7"/>
        <v>79.417290600592523</v>
      </c>
      <c r="W390" s="901"/>
      <c r="X390" s="901"/>
      <c r="Y390" s="471">
        <f t="shared" si="8"/>
        <v>38211800</v>
      </c>
      <c r="Z390" s="472"/>
      <c r="AA390" s="472"/>
      <c r="AB390" s="472"/>
      <c r="AC390" s="1088">
        <f t="shared" si="9"/>
        <v>17317200</v>
      </c>
      <c r="AD390" s="1089"/>
      <c r="AE390" s="1089"/>
      <c r="AF390" s="1089"/>
    </row>
    <row r="391" spans="1:38" s="16" customFormat="1" ht="13.5" customHeight="1" x14ac:dyDescent="0.2">
      <c r="A391" s="1033" t="str">
        <f>'[1]3.LRA'!C44</f>
        <v xml:space="preserve"> Honorarium PNS</v>
      </c>
      <c r="B391" s="1033"/>
      <c r="C391" s="1033"/>
      <c r="D391" s="1033"/>
      <c r="E391" s="1074">
        <f>'[1]3.LRA'!D44</f>
        <v>244205000</v>
      </c>
      <c r="F391" s="1074"/>
      <c r="G391" s="1074"/>
      <c r="H391" s="1074"/>
      <c r="I391" s="1075"/>
      <c r="J391" s="1074">
        <f>'[1]3.LRA'!E44</f>
        <v>202229000</v>
      </c>
      <c r="K391" s="1074"/>
      <c r="L391" s="1074"/>
      <c r="M391" s="1074"/>
      <c r="N391" s="1075"/>
      <c r="O391" s="1093">
        <f>'[1]3.LRA'!I44</f>
        <v>169865000</v>
      </c>
      <c r="P391" s="1094"/>
      <c r="Q391" s="1094"/>
      <c r="R391" s="1094"/>
      <c r="S391" s="1095"/>
      <c r="T391" s="1028">
        <f t="shared" si="10"/>
        <v>19.052777205427841</v>
      </c>
      <c r="U391" s="1029"/>
      <c r="V391" s="810">
        <f t="shared" si="7"/>
        <v>82.811162752605398</v>
      </c>
      <c r="W391" s="901"/>
      <c r="X391" s="901"/>
      <c r="Y391" s="471">
        <f t="shared" si="8"/>
        <v>41976000</v>
      </c>
      <c r="Z391" s="472"/>
      <c r="AA391" s="472"/>
      <c r="AB391" s="472"/>
      <c r="AC391" s="1088">
        <f t="shared" si="9"/>
        <v>32364000</v>
      </c>
      <c r="AD391" s="1089"/>
      <c r="AE391" s="1089"/>
      <c r="AF391" s="1089"/>
    </row>
    <row r="392" spans="1:38" s="16" customFormat="1" ht="15" customHeight="1" x14ac:dyDescent="0.2">
      <c r="A392" s="1033" t="str">
        <f>'[1]3.LRA'!C45</f>
        <v>Uang Lembur</v>
      </c>
      <c r="B392" s="1033"/>
      <c r="C392" s="1033"/>
      <c r="D392" s="1033"/>
      <c r="E392" s="1074">
        <f>'[1]3.LRA'!D45</f>
        <v>4812000</v>
      </c>
      <c r="F392" s="1074"/>
      <c r="G392" s="1074"/>
      <c r="H392" s="1074"/>
      <c r="I392" s="1075"/>
      <c r="J392" s="1074">
        <f>'[1]3.LRA'!E45</f>
        <v>4746000</v>
      </c>
      <c r="K392" s="1074"/>
      <c r="L392" s="1074"/>
      <c r="M392" s="1074"/>
      <c r="N392" s="1075"/>
      <c r="O392" s="1093">
        <f>'[1]3.LRA'!I45</f>
        <v>3239000</v>
      </c>
      <c r="P392" s="1094"/>
      <c r="Q392" s="1094"/>
      <c r="R392" s="1094"/>
      <c r="S392" s="1095"/>
      <c r="T392" s="1028">
        <f t="shared" si="10"/>
        <v>46.526705773386851</v>
      </c>
      <c r="U392" s="1029"/>
      <c r="V392" s="810">
        <f t="shared" si="7"/>
        <v>98.628428927680801</v>
      </c>
      <c r="W392" s="901"/>
      <c r="X392" s="901"/>
      <c r="Y392" s="471">
        <f t="shared" si="8"/>
        <v>66000</v>
      </c>
      <c r="Z392" s="472"/>
      <c r="AA392" s="472"/>
      <c r="AB392" s="472"/>
      <c r="AC392" s="1088">
        <f t="shared" si="9"/>
        <v>1507000</v>
      </c>
      <c r="AD392" s="1089"/>
      <c r="AE392" s="1089"/>
      <c r="AF392" s="1089"/>
    </row>
    <row r="393" spans="1:38" s="16" customFormat="1" ht="36.75" customHeight="1" x14ac:dyDescent="0.2">
      <c r="A393" s="1033" t="str">
        <f>'[1]3.LRA'!C46</f>
        <v>Uang untuk diberikan pada pihak ketiga/masyarakat</v>
      </c>
      <c r="B393" s="1033"/>
      <c r="C393" s="1033"/>
      <c r="D393" s="1033"/>
      <c r="E393" s="1074">
        <f>'[1]3.LRA'!D46</f>
        <v>0</v>
      </c>
      <c r="F393" s="1074"/>
      <c r="G393" s="1074"/>
      <c r="H393" s="1074"/>
      <c r="I393" s="1075"/>
      <c r="J393" s="1074">
        <f>'[1]3.LRA'!E46</f>
        <v>0</v>
      </c>
      <c r="K393" s="1074"/>
      <c r="L393" s="1074"/>
      <c r="M393" s="1074"/>
      <c r="N393" s="1075"/>
      <c r="O393" s="1093">
        <f>'[1]3.LRA'!I46</f>
        <v>7500000</v>
      </c>
      <c r="P393" s="1094"/>
      <c r="Q393" s="1094"/>
      <c r="R393" s="1094"/>
      <c r="S393" s="1095"/>
      <c r="T393" s="1028">
        <f t="shared" si="10"/>
        <v>-100</v>
      </c>
      <c r="U393" s="1029"/>
      <c r="V393" s="810" t="e">
        <f t="shared" si="7"/>
        <v>#DIV/0!</v>
      </c>
      <c r="W393" s="901"/>
      <c r="X393" s="901"/>
      <c r="Y393" s="471">
        <f t="shared" si="8"/>
        <v>0</v>
      </c>
      <c r="Z393" s="472"/>
      <c r="AA393" s="472"/>
      <c r="AB393" s="472"/>
      <c r="AC393" s="1088">
        <f t="shared" si="9"/>
        <v>-7500000</v>
      </c>
      <c r="AD393" s="1089"/>
      <c r="AE393" s="1089"/>
      <c r="AF393" s="1089"/>
    </row>
    <row r="394" spans="1:38" s="16" customFormat="1" ht="22.5" customHeight="1" x14ac:dyDescent="0.2">
      <c r="A394" s="1025" t="s">
        <v>205</v>
      </c>
      <c r="B394" s="1026"/>
      <c r="C394" s="1026"/>
      <c r="D394" s="1027"/>
      <c r="E394" s="1082">
        <f>SUM(E387:I393)</f>
        <v>4598610078</v>
      </c>
      <c r="F394" s="1083"/>
      <c r="G394" s="1083"/>
      <c r="H394" s="1083"/>
      <c r="I394" s="1084"/>
      <c r="J394" s="1082">
        <f>SUM(J387:N393)</f>
        <v>4064787469</v>
      </c>
      <c r="K394" s="1083"/>
      <c r="L394" s="1083"/>
      <c r="M394" s="1083"/>
      <c r="N394" s="1084"/>
      <c r="O394" s="1090">
        <f>SUM(O387:S393)</f>
        <v>3809977007</v>
      </c>
      <c r="P394" s="1091"/>
      <c r="Q394" s="1091"/>
      <c r="R394" s="1091"/>
      <c r="S394" s="1092"/>
      <c r="T394" s="1085">
        <f t="shared" si="10"/>
        <v>6.6879789965094663</v>
      </c>
      <c r="U394" s="1086"/>
      <c r="V394" s="810">
        <f t="shared" si="7"/>
        <v>88.391653131152907</v>
      </c>
      <c r="W394" s="901"/>
      <c r="X394" s="901"/>
      <c r="Y394" s="471">
        <f t="shared" si="8"/>
        <v>533822609</v>
      </c>
      <c r="Z394" s="472"/>
      <c r="AA394" s="472"/>
      <c r="AB394" s="472"/>
      <c r="AC394" s="1088">
        <f t="shared" si="9"/>
        <v>254810462</v>
      </c>
      <c r="AD394" s="1089"/>
      <c r="AE394" s="1089"/>
      <c r="AF394" s="1089"/>
    </row>
    <row r="395" spans="1:38" s="16" customFormat="1" ht="15.75" customHeight="1" x14ac:dyDescent="0.2">
      <c r="A395" s="105"/>
      <c r="B395" s="105"/>
      <c r="C395" s="105"/>
      <c r="D395" s="105"/>
      <c r="E395" s="106"/>
      <c r="F395" s="93"/>
      <c r="G395" s="93"/>
      <c r="H395" s="93"/>
      <c r="I395" s="93"/>
      <c r="J395" s="106"/>
      <c r="K395" s="93"/>
      <c r="L395" s="93"/>
      <c r="M395" s="93"/>
      <c r="N395" s="93"/>
      <c r="O395" s="106"/>
      <c r="P395" s="93"/>
      <c r="Q395" s="93"/>
      <c r="R395" s="93"/>
      <c r="S395" s="93"/>
      <c r="T395" s="107"/>
      <c r="U395" s="107"/>
      <c r="V395" s="23"/>
    </row>
    <row r="396" spans="1:38" s="16" customFormat="1" ht="77.25" customHeight="1" x14ac:dyDescent="0.2">
      <c r="A396" s="105"/>
      <c r="B396" s="105"/>
      <c r="C396" s="105"/>
      <c r="D396" s="407" t="str">
        <f>"Bila dibandingkan dengan TA "&amp;'[1]2.ISIAN DATA SKPD'!D12&amp;", Realisasi Belanja Pegawai TA "&amp;'[1]2.ISIAN DATA SKPD'!D11&amp;" mengalami kenaikan sebesar Rp. "&amp;FIXED(AC394)&amp;"  atau "&amp;FIXED(T394)&amp;"%. Belanja pegawai  ini digunakan antara lain untuk honor, gaji tenaga kontrak maupun gaji pegawai  bukan PNS."</f>
        <v>Bila dibandingkan dengan TA 2017, Realisasi Belanja Pegawai TA 2018 mengalami kenaikan sebesar Rp. 254.810.462,00  atau 6,69%. Belanja pegawai  ini digunakan antara lain untuk honor, gaji tenaga kontrak maupun gaji pegawai  bukan PNS.</v>
      </c>
      <c r="E396" s="407"/>
      <c r="F396" s="407"/>
      <c r="G396" s="407"/>
      <c r="H396" s="407"/>
      <c r="I396" s="407"/>
      <c r="J396" s="407"/>
      <c r="K396" s="407"/>
      <c r="L396" s="407"/>
      <c r="M396" s="407"/>
      <c r="N396" s="407"/>
      <c r="O396" s="407"/>
      <c r="P396" s="407"/>
      <c r="Q396" s="407"/>
      <c r="R396" s="407"/>
      <c r="S396" s="407"/>
      <c r="T396" s="407"/>
      <c r="U396" s="407"/>
      <c r="V396" s="23"/>
    </row>
    <row r="397" spans="1:38" s="16" customFormat="1" ht="12" customHeight="1" x14ac:dyDescent="0.2">
      <c r="A397" s="105"/>
      <c r="B397" s="105"/>
      <c r="C397" s="105"/>
      <c r="D397" s="77"/>
      <c r="E397" s="77"/>
      <c r="F397" s="77"/>
      <c r="G397" s="77"/>
      <c r="H397" s="77"/>
      <c r="I397" s="77"/>
      <c r="J397" s="77"/>
      <c r="K397" s="77"/>
      <c r="L397" s="77"/>
      <c r="M397" s="77"/>
      <c r="N397" s="77"/>
      <c r="O397" s="77"/>
      <c r="P397" s="77"/>
      <c r="Q397" s="77"/>
      <c r="R397" s="77"/>
      <c r="S397" s="77"/>
      <c r="T397" s="77"/>
      <c r="U397" s="77"/>
      <c r="V397" s="103"/>
      <c r="W397" s="103"/>
      <c r="X397" s="103"/>
      <c r="Y397" s="103"/>
      <c r="Z397" s="103"/>
      <c r="AA397" s="103"/>
      <c r="AB397" s="103"/>
      <c r="AC397" s="103"/>
      <c r="AD397" s="103"/>
      <c r="AE397" s="103"/>
      <c r="AF397" s="103"/>
      <c r="AG397" s="103"/>
      <c r="AH397" s="103"/>
      <c r="AI397" s="103"/>
      <c r="AJ397" s="103"/>
      <c r="AK397" s="103"/>
      <c r="AL397" s="103"/>
    </row>
    <row r="398" spans="1:38" s="16" customFormat="1" ht="22.5" customHeight="1" x14ac:dyDescent="0.2">
      <c r="A398" s="21"/>
      <c r="C398" s="30" t="s">
        <v>153</v>
      </c>
      <c r="D398" s="54" t="s">
        <v>257</v>
      </c>
      <c r="E398" s="54"/>
      <c r="F398" s="54"/>
      <c r="G398" s="54"/>
      <c r="H398" s="54"/>
      <c r="I398" s="54"/>
      <c r="J398" s="54"/>
      <c r="K398" s="54"/>
      <c r="L398" s="29"/>
      <c r="M398" s="29"/>
      <c r="N398" s="29"/>
      <c r="O398" s="29"/>
      <c r="P398" s="29"/>
      <c r="Q398" s="29"/>
      <c r="R398" s="29"/>
      <c r="S398" s="29"/>
      <c r="T398" s="20"/>
      <c r="U398" s="20"/>
      <c r="V398" s="23"/>
    </row>
    <row r="399" spans="1:38" s="16" customFormat="1" ht="65.25" customHeight="1" x14ac:dyDescent="0.2">
      <c r="A399" s="21"/>
      <c r="D399" s="407" t="str">
        <f>"Belanja barang  TA. "&amp;'[1]2.ISIAN DATA SKPD'!D11&amp;" dapat direalisasikan sebesar Rp. "&amp;FIXED(J421)&amp;" atau mencapai "&amp;FIXED(V421)&amp;"% dari anggaran yang telah ditetapkan sebesar Rp. "&amp;FIXED(E421)&amp;" atau kurang dari anggaran sebesar Rp. "&amp;FIXED(Y421)&amp;""</f>
        <v>Belanja barang  TA. 2018 dapat direalisasikan sebesar Rp. 4.533.400.161,00 atau mencapai 96,55% dari anggaran yang telah ditetapkan sebesar Rp. 4.695.372.718,00 atau kurang dari anggaran sebesar Rp. 161.972.557,00</v>
      </c>
      <c r="E399" s="407"/>
      <c r="F399" s="407"/>
      <c r="G399" s="407"/>
      <c r="H399" s="407"/>
      <c r="I399" s="407"/>
      <c r="J399" s="407"/>
      <c r="K399" s="407"/>
      <c r="L399" s="407"/>
      <c r="M399" s="407"/>
      <c r="N399" s="407"/>
      <c r="O399" s="407"/>
      <c r="P399" s="407"/>
      <c r="Q399" s="407"/>
      <c r="R399" s="407"/>
      <c r="S399" s="407"/>
      <c r="T399" s="407"/>
      <c r="U399" s="407"/>
      <c r="V399" s="23"/>
    </row>
    <row r="400" spans="1:38" s="16" customFormat="1" ht="65.25" customHeight="1" x14ac:dyDescent="0.2">
      <c r="A400" s="14"/>
      <c r="D400" s="407" t="str">
        <f>"Bila dibandingkan dengan TA "&amp;'[1]2.ISIAN DATA SKPD'!D12&amp;", Realisasi belanja barang  TA "&amp;'[1]2.ISIAN DATA SKPD'!D11&amp;" mengalami kenaikan sebesar Rp. "&amp;FIXED('[1]3.LRA'!L47)&amp;"  atau "&amp;FIXED('[1]3.LRA'!K47)&amp;"%. Realisai belanja barang  dapat dilihat pada tabel dibawah ini."</f>
        <v>Bila dibandingkan dengan TA 2017, Realisasi belanja barang  TA 2018 mengalami kenaikan sebesar Rp. 636.658.733,00  atau 12,83%. Realisai belanja barang  dapat dilihat pada tabel dibawah ini.</v>
      </c>
      <c r="E400" s="407"/>
      <c r="F400" s="407"/>
      <c r="G400" s="407"/>
      <c r="H400" s="407"/>
      <c r="I400" s="407"/>
      <c r="J400" s="407"/>
      <c r="K400" s="407"/>
      <c r="L400" s="407"/>
      <c r="M400" s="407"/>
      <c r="N400" s="407"/>
      <c r="O400" s="407"/>
      <c r="P400" s="407"/>
      <c r="Q400" s="407"/>
      <c r="R400" s="407"/>
      <c r="S400" s="407"/>
      <c r="T400" s="407"/>
      <c r="U400" s="407"/>
      <c r="V400" s="23"/>
    </row>
    <row r="401" spans="1:32" s="16" customFormat="1" ht="22.5" customHeight="1" x14ac:dyDescent="0.2">
      <c r="A401" s="14"/>
      <c r="B401" s="452" t="str">
        <f>"Perbandingan Belanja Barang  TA "&amp;'[1]2.ISIAN DATA SKPD'!D11&amp;" dan "&amp;'[1]2.ISIAN DATA SKPD'!D12&amp;""</f>
        <v>Perbandingan Belanja Barang  TA 2018 dan 2017</v>
      </c>
      <c r="C401" s="452"/>
      <c r="D401" s="452"/>
      <c r="E401" s="452"/>
      <c r="F401" s="452"/>
      <c r="G401" s="452"/>
      <c r="H401" s="452"/>
      <c r="I401" s="452"/>
      <c r="J401" s="452"/>
      <c r="K401" s="452"/>
      <c r="L401" s="452"/>
      <c r="M401" s="452"/>
      <c r="N401" s="452"/>
      <c r="O401" s="452"/>
      <c r="P401" s="452"/>
      <c r="Q401" s="452"/>
      <c r="R401" s="452"/>
      <c r="S401" s="452"/>
      <c r="T401" s="452"/>
      <c r="U401" s="452"/>
      <c r="V401" s="23"/>
    </row>
    <row r="402" spans="1:32" s="16" customFormat="1" ht="27.75" customHeight="1" x14ac:dyDescent="0.2">
      <c r="A402" s="1020" t="s">
        <v>257</v>
      </c>
      <c r="B402" s="1021"/>
      <c r="C402" s="1021"/>
      <c r="D402" s="1021"/>
      <c r="E402" s="1032" t="s">
        <v>192</v>
      </c>
      <c r="F402" s="1032"/>
      <c r="G402" s="1032"/>
      <c r="H402" s="1032"/>
      <c r="I402" s="1032"/>
      <c r="J402" s="1020" t="str">
        <f>J369</f>
        <v>Realisasi                      TA 2018</v>
      </c>
      <c r="K402" s="1021"/>
      <c r="L402" s="1021"/>
      <c r="M402" s="1021"/>
      <c r="N402" s="1022"/>
      <c r="O402" s="1020" t="str">
        <f>O386</f>
        <v>Realisasi                   TA 2017</v>
      </c>
      <c r="P402" s="1021"/>
      <c r="Q402" s="1021"/>
      <c r="R402" s="1021"/>
      <c r="S402" s="1022"/>
      <c r="T402" s="1023" t="s">
        <v>247</v>
      </c>
      <c r="U402" s="1024"/>
      <c r="V402" s="810" t="s">
        <v>196</v>
      </c>
      <c r="W402" s="901"/>
      <c r="X402" s="901"/>
      <c r="Y402" s="1067" t="s">
        <v>195</v>
      </c>
      <c r="Z402" s="1063"/>
      <c r="AA402" s="1063"/>
      <c r="AB402" s="1063" t="s">
        <v>196</v>
      </c>
      <c r="AC402" s="1067" t="s">
        <v>197</v>
      </c>
      <c r="AD402" s="1063"/>
      <c r="AE402" s="1063"/>
      <c r="AF402" s="1063"/>
    </row>
    <row r="403" spans="1:32" s="16" customFormat="1" ht="28.5" customHeight="1" x14ac:dyDescent="0.2">
      <c r="A403" s="1033" t="str">
        <f>'[1]3.LRA'!C48</f>
        <v>Belanja Bahan Pakai Habis</v>
      </c>
      <c r="B403" s="1033"/>
      <c r="C403" s="1033"/>
      <c r="D403" s="1033"/>
      <c r="E403" s="1074">
        <f>'[1]3.LRA'!D48</f>
        <v>40943200</v>
      </c>
      <c r="F403" s="1074"/>
      <c r="G403" s="1074"/>
      <c r="H403" s="1074"/>
      <c r="I403" s="1075"/>
      <c r="J403" s="1074">
        <f>'[1]3.LRA'!E48</f>
        <v>40135300</v>
      </c>
      <c r="K403" s="1074"/>
      <c r="L403" s="1074"/>
      <c r="M403" s="1074"/>
      <c r="N403" s="1075"/>
      <c r="O403" s="1076">
        <f>'[1]3.LRA'!I48</f>
        <v>147668450</v>
      </c>
      <c r="P403" s="1077"/>
      <c r="Q403" s="1077"/>
      <c r="R403" s="1077"/>
      <c r="S403" s="1078"/>
      <c r="T403" s="1028">
        <f>(J403-O403)/O403*100</f>
        <v>-72.820666838447892</v>
      </c>
      <c r="U403" s="1029"/>
      <c r="V403" s="810">
        <f t="shared" ref="V403:V421" si="11">J403/E403*100</f>
        <v>98.026778561519365</v>
      </c>
      <c r="W403" s="901"/>
      <c r="X403" s="901"/>
      <c r="Y403" s="471">
        <f>E403-J403</f>
        <v>807900</v>
      </c>
      <c r="Z403" s="472"/>
      <c r="AA403" s="472"/>
      <c r="AB403" s="472"/>
      <c r="AC403" s="471">
        <f>J403-O403</f>
        <v>-107533150</v>
      </c>
      <c r="AD403" s="472"/>
      <c r="AE403" s="472"/>
      <c r="AF403" s="472"/>
    </row>
    <row r="404" spans="1:32" s="16" customFormat="1" ht="18.75" customHeight="1" x14ac:dyDescent="0.2">
      <c r="A404" s="1033" t="str">
        <f>'[1]3.LRA'!C49</f>
        <v>Belanja Bahan/Material</v>
      </c>
      <c r="B404" s="1033"/>
      <c r="C404" s="1033"/>
      <c r="D404" s="1033"/>
      <c r="E404" s="1074">
        <f>'[1]3.LRA'!D49</f>
        <v>231109000</v>
      </c>
      <c r="F404" s="1074"/>
      <c r="G404" s="1074"/>
      <c r="H404" s="1074"/>
      <c r="I404" s="1075"/>
      <c r="J404" s="1074">
        <f>'[1]3.LRA'!E49</f>
        <v>230659000</v>
      </c>
      <c r="K404" s="1074"/>
      <c r="L404" s="1074"/>
      <c r="M404" s="1074"/>
      <c r="N404" s="1075"/>
      <c r="O404" s="1076">
        <f>'[1]3.LRA'!I49</f>
        <v>380542200</v>
      </c>
      <c r="P404" s="1077"/>
      <c r="Q404" s="1077"/>
      <c r="R404" s="1077"/>
      <c r="S404" s="1078"/>
      <c r="T404" s="1028">
        <f t="shared" ref="T404:T421" si="12">(J404-O404)/O404*100</f>
        <v>-39.386748696990772</v>
      </c>
      <c r="U404" s="1029"/>
      <c r="V404" s="810">
        <f t="shared" si="11"/>
        <v>99.805286682907195</v>
      </c>
      <c r="W404" s="901"/>
      <c r="X404" s="901"/>
      <c r="Y404" s="1067" t="s">
        <v>195</v>
      </c>
      <c r="Z404" s="1063"/>
      <c r="AA404" s="1063"/>
      <c r="AB404" s="1063" t="s">
        <v>196</v>
      </c>
      <c r="AC404" s="1067" t="s">
        <v>258</v>
      </c>
      <c r="AD404" s="1063"/>
      <c r="AE404" s="1063"/>
      <c r="AF404" s="1063"/>
    </row>
    <row r="405" spans="1:32" s="16" customFormat="1" ht="18.75" customHeight="1" x14ac:dyDescent="0.2">
      <c r="A405" s="1033" t="str">
        <f>'[1]3.LRA'!C50</f>
        <v>Belanja Jasa Kantor</v>
      </c>
      <c r="B405" s="1033"/>
      <c r="C405" s="1033"/>
      <c r="D405" s="1033"/>
      <c r="E405" s="1074">
        <f>'[1]3.LRA'!D50</f>
        <v>1740340000</v>
      </c>
      <c r="F405" s="1074"/>
      <c r="G405" s="1074"/>
      <c r="H405" s="1074"/>
      <c r="I405" s="1075"/>
      <c r="J405" s="1074">
        <f>'[1]3.LRA'!E50</f>
        <v>1681736082</v>
      </c>
      <c r="K405" s="1074"/>
      <c r="L405" s="1074"/>
      <c r="M405" s="1074"/>
      <c r="N405" s="1075"/>
      <c r="O405" s="1076">
        <f>'[1]3.LRA'!I50</f>
        <v>2501754194</v>
      </c>
      <c r="P405" s="1077"/>
      <c r="Q405" s="1077"/>
      <c r="R405" s="1077"/>
      <c r="S405" s="1078"/>
      <c r="T405" s="1028">
        <f t="shared" si="12"/>
        <v>-32.77772508452923</v>
      </c>
      <c r="U405" s="1029"/>
      <c r="V405" s="810">
        <f t="shared" si="11"/>
        <v>96.632616730064242</v>
      </c>
      <c r="W405" s="901"/>
      <c r="X405" s="901"/>
      <c r="Y405" s="471">
        <f>E405-J405</f>
        <v>58603918</v>
      </c>
      <c r="Z405" s="472"/>
      <c r="AA405" s="472"/>
      <c r="AB405" s="472"/>
      <c r="AC405" s="471">
        <f>J405-O405</f>
        <v>-820018112</v>
      </c>
      <c r="AD405" s="472"/>
      <c r="AE405" s="472"/>
      <c r="AF405" s="472"/>
    </row>
    <row r="406" spans="1:32" s="16" customFormat="1" ht="30.75" customHeight="1" x14ac:dyDescent="0.2">
      <c r="A406" s="1033" t="str">
        <f>'[1]3.LRA'!C51</f>
        <v>Belanja Perawatan Kendaraan Bermotor</v>
      </c>
      <c r="B406" s="1033"/>
      <c r="C406" s="1033"/>
      <c r="D406" s="1033"/>
      <c r="E406" s="1074">
        <f>'[1]3.LRA'!D51</f>
        <v>67350000</v>
      </c>
      <c r="F406" s="1074"/>
      <c r="G406" s="1074"/>
      <c r="H406" s="1074"/>
      <c r="I406" s="1075"/>
      <c r="J406" s="1074">
        <f>'[1]3.LRA'!E51</f>
        <v>60110192</v>
      </c>
      <c r="K406" s="1074"/>
      <c r="L406" s="1074"/>
      <c r="M406" s="1074"/>
      <c r="N406" s="1075"/>
      <c r="O406" s="1076">
        <f>'[1]3.LRA'!I51</f>
        <v>49824128</v>
      </c>
      <c r="P406" s="1077"/>
      <c r="Q406" s="1077"/>
      <c r="R406" s="1077"/>
      <c r="S406" s="1078"/>
      <c r="T406" s="1028">
        <f t="shared" si="12"/>
        <v>20.644744650623892</v>
      </c>
      <c r="U406" s="1029"/>
      <c r="V406" s="810">
        <f t="shared" si="11"/>
        <v>89.250470675575357</v>
      </c>
      <c r="W406" s="901"/>
      <c r="X406" s="901"/>
      <c r="Y406" s="1067" t="s">
        <v>195</v>
      </c>
      <c r="Z406" s="1063"/>
      <c r="AA406" s="1063"/>
      <c r="AB406" s="1063" t="s">
        <v>196</v>
      </c>
      <c r="AC406" s="1067" t="s">
        <v>259</v>
      </c>
      <c r="AD406" s="1063"/>
      <c r="AE406" s="1063"/>
      <c r="AF406" s="1063"/>
    </row>
    <row r="407" spans="1:32" s="16" customFormat="1" ht="27" customHeight="1" x14ac:dyDescent="0.2">
      <c r="A407" s="1033" t="str">
        <f>'[1]3.LRA'!C52</f>
        <v>Belanja Cetak dan Penggandaan</v>
      </c>
      <c r="B407" s="1063"/>
      <c r="C407" s="1063"/>
      <c r="D407" s="1063"/>
      <c r="E407" s="1074">
        <f>'[1]3.LRA'!D52</f>
        <v>201175950</v>
      </c>
      <c r="F407" s="1074"/>
      <c r="G407" s="1074"/>
      <c r="H407" s="1074"/>
      <c r="I407" s="1075"/>
      <c r="J407" s="1074">
        <f>'[1]3.LRA'!E52</f>
        <v>195398350</v>
      </c>
      <c r="K407" s="1074"/>
      <c r="L407" s="1074"/>
      <c r="M407" s="1074"/>
      <c r="N407" s="1075"/>
      <c r="O407" s="1076">
        <f>'[1]3.LRA'!I52</f>
        <v>113123150</v>
      </c>
      <c r="P407" s="1077"/>
      <c r="Q407" s="1077"/>
      <c r="R407" s="1077"/>
      <c r="S407" s="1078"/>
      <c r="T407" s="1028">
        <f t="shared" si="12"/>
        <v>72.730647970817643</v>
      </c>
      <c r="U407" s="1029"/>
      <c r="V407" s="810">
        <f t="shared" si="11"/>
        <v>97.128086135544535</v>
      </c>
      <c r="W407" s="901"/>
      <c r="X407" s="901"/>
      <c r="Y407" s="471">
        <f>E407-J407</f>
        <v>5777600</v>
      </c>
      <c r="Z407" s="472"/>
      <c r="AA407" s="472"/>
      <c r="AB407" s="472"/>
      <c r="AC407" s="471">
        <f>J407-O407</f>
        <v>82275200</v>
      </c>
      <c r="AD407" s="472"/>
      <c r="AE407" s="472"/>
      <c r="AF407" s="472"/>
    </row>
    <row r="408" spans="1:32" s="16" customFormat="1" ht="39.75" customHeight="1" x14ac:dyDescent="0.2">
      <c r="A408" s="1033" t="str">
        <f>'[1]3.LRA'!C53</f>
        <v>Belanja Sewa Rumah/Gedung/ Gudang/Parkir</v>
      </c>
      <c r="B408" s="1063"/>
      <c r="C408" s="1063"/>
      <c r="D408" s="1063"/>
      <c r="E408" s="1074">
        <f>'[1]3.LRA'!D53</f>
        <v>66300000</v>
      </c>
      <c r="F408" s="1074"/>
      <c r="G408" s="1074"/>
      <c r="H408" s="1074"/>
      <c r="I408" s="1075"/>
      <c r="J408" s="1074">
        <f>'[1]3.LRA'!E53</f>
        <v>66300000</v>
      </c>
      <c r="K408" s="1074"/>
      <c r="L408" s="1074"/>
      <c r="M408" s="1074"/>
      <c r="N408" s="1075"/>
      <c r="O408" s="1076">
        <f>'[1]3.LRA'!I53</f>
        <v>128686216</v>
      </c>
      <c r="P408" s="1077"/>
      <c r="Q408" s="1077"/>
      <c r="R408" s="1077"/>
      <c r="S408" s="1078"/>
      <c r="T408" s="1028">
        <f t="shared" si="12"/>
        <v>-48.479330529075469</v>
      </c>
      <c r="U408" s="1029"/>
      <c r="V408" s="810">
        <f t="shared" si="11"/>
        <v>100</v>
      </c>
      <c r="W408" s="901"/>
      <c r="X408" s="901"/>
      <c r="Y408" s="1067" t="s">
        <v>195</v>
      </c>
      <c r="Z408" s="1063"/>
      <c r="AA408" s="1063"/>
      <c r="AB408" s="1063" t="s">
        <v>196</v>
      </c>
      <c r="AC408" s="1067" t="s">
        <v>260</v>
      </c>
      <c r="AD408" s="1063"/>
      <c r="AE408" s="1063"/>
      <c r="AF408" s="1063"/>
    </row>
    <row r="409" spans="1:32" s="16" customFormat="1" ht="30.75" customHeight="1" x14ac:dyDescent="0.2">
      <c r="A409" s="1033" t="str">
        <f>'[1]3.LRA'!C54</f>
        <v>Belanja Sewa Sarana Mobilitas</v>
      </c>
      <c r="B409" s="1063"/>
      <c r="C409" s="1063"/>
      <c r="D409" s="1063"/>
      <c r="E409" s="1074">
        <f>'[1]3.LRA'!D54</f>
        <v>80650000</v>
      </c>
      <c r="F409" s="1074"/>
      <c r="G409" s="1074"/>
      <c r="H409" s="1074"/>
      <c r="I409" s="1075"/>
      <c r="J409" s="1074">
        <f>'[1]3.LRA'!E54</f>
        <v>77150000</v>
      </c>
      <c r="K409" s="1074"/>
      <c r="L409" s="1074"/>
      <c r="M409" s="1074"/>
      <c r="N409" s="1075"/>
      <c r="O409" s="1076">
        <f>'[1]3.LRA'!I54</f>
        <v>46000000</v>
      </c>
      <c r="P409" s="1077"/>
      <c r="Q409" s="1077"/>
      <c r="R409" s="1077"/>
      <c r="S409" s="1078"/>
      <c r="T409" s="1028">
        <f t="shared" si="12"/>
        <v>67.717391304347828</v>
      </c>
      <c r="U409" s="1029"/>
      <c r="V409" s="810">
        <f t="shared" si="11"/>
        <v>95.66026038437694</v>
      </c>
      <c r="W409" s="901"/>
      <c r="X409" s="901"/>
      <c r="Y409" s="471">
        <f>E409-J409</f>
        <v>3500000</v>
      </c>
      <c r="Z409" s="472"/>
      <c r="AA409" s="472"/>
      <c r="AB409" s="472"/>
      <c r="AC409" s="471">
        <f>J409-O409</f>
        <v>31150000</v>
      </c>
      <c r="AD409" s="472"/>
      <c r="AE409" s="472"/>
      <c r="AF409" s="472"/>
    </row>
    <row r="410" spans="1:32" s="16" customFormat="1" ht="32.25" customHeight="1" x14ac:dyDescent="0.2">
      <c r="A410" s="1033" t="str">
        <f>'[1]3.LRA'!C55</f>
        <v>Belanja Sewa Perlengkapan dan Peralatan Kantor</v>
      </c>
      <c r="B410" s="1063"/>
      <c r="C410" s="1063"/>
      <c r="D410" s="1063"/>
      <c r="E410" s="1074">
        <f>'[1]3.LRA'!D55</f>
        <v>163970000</v>
      </c>
      <c r="F410" s="1074"/>
      <c r="G410" s="1074"/>
      <c r="H410" s="1074"/>
      <c r="I410" s="1075"/>
      <c r="J410" s="1074">
        <f>'[1]3.LRA'!E55</f>
        <v>163970000</v>
      </c>
      <c r="K410" s="1074"/>
      <c r="L410" s="1074"/>
      <c r="M410" s="1074"/>
      <c r="N410" s="1075"/>
      <c r="O410" s="1076">
        <f>'[1]3.LRA'!I55</f>
        <v>96218500</v>
      </c>
      <c r="P410" s="1077"/>
      <c r="Q410" s="1077"/>
      <c r="R410" s="1077"/>
      <c r="S410" s="1078"/>
      <c r="T410" s="1028">
        <f t="shared" si="12"/>
        <v>70.414213482854123</v>
      </c>
      <c r="U410" s="1029"/>
      <c r="V410" s="810">
        <f t="shared" si="11"/>
        <v>100</v>
      </c>
      <c r="W410" s="901"/>
      <c r="X410" s="901"/>
      <c r="Y410" s="1067" t="s">
        <v>195</v>
      </c>
      <c r="Z410" s="1063"/>
      <c r="AA410" s="1063"/>
      <c r="AB410" s="1063" t="s">
        <v>196</v>
      </c>
      <c r="AC410" s="1067" t="s">
        <v>261</v>
      </c>
      <c r="AD410" s="1063"/>
      <c r="AE410" s="1063"/>
      <c r="AF410" s="1063"/>
    </row>
    <row r="411" spans="1:32" s="16" customFormat="1" ht="28.5" customHeight="1" x14ac:dyDescent="0.2">
      <c r="A411" s="1033" t="str">
        <f>'[1]3.LRA'!C56</f>
        <v>Belanja Makanan dan Minuman</v>
      </c>
      <c r="B411" s="1063"/>
      <c r="C411" s="1063"/>
      <c r="D411" s="1063"/>
      <c r="E411" s="1074">
        <f>'[1]3.LRA'!D56</f>
        <v>705422000</v>
      </c>
      <c r="F411" s="1074"/>
      <c r="G411" s="1074"/>
      <c r="H411" s="1074"/>
      <c r="I411" s="1075"/>
      <c r="J411" s="1087">
        <f>'[1]3.LRA'!E56</f>
        <v>663648500</v>
      </c>
      <c r="K411" s="1074"/>
      <c r="L411" s="1074"/>
      <c r="M411" s="1074"/>
      <c r="N411" s="1075"/>
      <c r="O411" s="1076">
        <f>'[1]3.LRA'!I56</f>
        <v>409410500</v>
      </c>
      <c r="P411" s="1077"/>
      <c r="Q411" s="1077"/>
      <c r="R411" s="1077"/>
      <c r="S411" s="1078"/>
      <c r="T411" s="1028">
        <f t="shared" si="12"/>
        <v>62.098553896394939</v>
      </c>
      <c r="U411" s="1029"/>
      <c r="V411" s="810">
        <f t="shared" si="11"/>
        <v>94.07822551607407</v>
      </c>
      <c r="W411" s="901"/>
      <c r="X411" s="901"/>
      <c r="Y411" s="471">
        <f>E411-J411</f>
        <v>41773500</v>
      </c>
      <c r="Z411" s="472"/>
      <c r="AA411" s="472"/>
      <c r="AB411" s="472"/>
      <c r="AC411" s="471">
        <f>J411-O411</f>
        <v>254238000</v>
      </c>
      <c r="AD411" s="472"/>
      <c r="AE411" s="472"/>
      <c r="AF411" s="472"/>
    </row>
    <row r="412" spans="1:32" s="16" customFormat="1" ht="24" customHeight="1" x14ac:dyDescent="0.2">
      <c r="A412" s="1033" t="str">
        <f>'[1]3.LRA'!C57</f>
        <v>Belanja Pakaian Kerja</v>
      </c>
      <c r="B412" s="1063"/>
      <c r="C412" s="1063"/>
      <c r="D412" s="1063"/>
      <c r="E412" s="1074">
        <f>'[1]3.LRA'!D57</f>
        <v>41975000</v>
      </c>
      <c r="F412" s="1074"/>
      <c r="G412" s="1074"/>
      <c r="H412" s="1074"/>
      <c r="I412" s="1075"/>
      <c r="J412" s="1087">
        <f>'[1]3.LRA'!E57</f>
        <v>41975000</v>
      </c>
      <c r="K412" s="1074"/>
      <c r="L412" s="1074"/>
      <c r="M412" s="1074"/>
      <c r="N412" s="1075"/>
      <c r="O412" s="1076">
        <f>'[1]3.LRA'!I57</f>
        <v>12000000</v>
      </c>
      <c r="P412" s="1077"/>
      <c r="Q412" s="1077"/>
      <c r="R412" s="1077"/>
      <c r="S412" s="1078"/>
      <c r="T412" s="1028">
        <v>100</v>
      </c>
      <c r="U412" s="1029"/>
      <c r="V412" s="810">
        <f t="shared" si="11"/>
        <v>100</v>
      </c>
      <c r="W412" s="901"/>
      <c r="X412" s="901"/>
      <c r="Y412" s="1067" t="s">
        <v>195</v>
      </c>
      <c r="Z412" s="1063"/>
      <c r="AA412" s="1063"/>
      <c r="AB412" s="1063" t="s">
        <v>196</v>
      </c>
      <c r="AC412" s="1067" t="s">
        <v>262</v>
      </c>
      <c r="AD412" s="1063"/>
      <c r="AE412" s="1063"/>
      <c r="AF412" s="1063"/>
    </row>
    <row r="413" spans="1:32" s="16" customFormat="1" ht="18.75" customHeight="1" x14ac:dyDescent="0.2">
      <c r="A413" s="1033" t="str">
        <f>'[1]3.LRA'!C58</f>
        <v>Belanja Perjalanan Dinas</v>
      </c>
      <c r="B413" s="1063"/>
      <c r="C413" s="1063"/>
      <c r="D413" s="1063"/>
      <c r="E413" s="1074">
        <f>'[1]3.LRA'!D58</f>
        <v>544259568</v>
      </c>
      <c r="F413" s="1074"/>
      <c r="G413" s="1074"/>
      <c r="H413" s="1074"/>
      <c r="I413" s="1075"/>
      <c r="J413" s="1087">
        <f>'[1]3.LRA'!E58</f>
        <v>512102737</v>
      </c>
      <c r="K413" s="1074"/>
      <c r="L413" s="1074"/>
      <c r="M413" s="1074"/>
      <c r="N413" s="1075"/>
      <c r="O413" s="1076">
        <f>'[1]3.LRA'!I58</f>
        <v>339133490</v>
      </c>
      <c r="P413" s="1077"/>
      <c r="Q413" s="1077"/>
      <c r="R413" s="1077"/>
      <c r="S413" s="1078"/>
      <c r="T413" s="1028">
        <f t="shared" si="12"/>
        <v>51.00329283315547</v>
      </c>
      <c r="U413" s="1029"/>
      <c r="V413" s="810">
        <f t="shared" si="11"/>
        <v>94.091636988915553</v>
      </c>
      <c r="W413" s="901"/>
      <c r="X413" s="901"/>
      <c r="Y413" s="471">
        <f>E413-J413</f>
        <v>32156831</v>
      </c>
      <c r="Z413" s="472"/>
      <c r="AA413" s="472"/>
      <c r="AB413" s="472"/>
      <c r="AC413" s="471">
        <f>J413-O413</f>
        <v>172969247</v>
      </c>
      <c r="AD413" s="472"/>
      <c r="AE413" s="472"/>
      <c r="AF413" s="472"/>
    </row>
    <row r="414" spans="1:32" s="16" customFormat="1" ht="30.75" customHeight="1" x14ac:dyDescent="0.2">
      <c r="A414" s="1033" t="str">
        <f>'[1]3.LRA'!C59</f>
        <v>Belanja kursus pelatihan, sosialisasi dan Bintek PNS</v>
      </c>
      <c r="B414" s="1063"/>
      <c r="C414" s="1063"/>
      <c r="D414" s="1063"/>
      <c r="E414" s="1074">
        <f>'[1]3.LRA'!D59</f>
        <v>0</v>
      </c>
      <c r="F414" s="1074"/>
      <c r="G414" s="1074"/>
      <c r="H414" s="1074"/>
      <c r="I414" s="1075"/>
      <c r="J414" s="1074">
        <f>'[1]3.LRA'!E59</f>
        <v>0</v>
      </c>
      <c r="K414" s="1074"/>
      <c r="L414" s="1074"/>
      <c r="M414" s="1074"/>
      <c r="N414" s="1075"/>
      <c r="O414" s="1076">
        <f>'[1]3.LRA'!I59</f>
        <v>29029000</v>
      </c>
      <c r="P414" s="1077"/>
      <c r="Q414" s="1077"/>
      <c r="R414" s="1077"/>
      <c r="S414" s="1078"/>
      <c r="T414" s="1028">
        <v>100</v>
      </c>
      <c r="U414" s="1029"/>
      <c r="V414" s="810" t="e">
        <f t="shared" si="11"/>
        <v>#DIV/0!</v>
      </c>
      <c r="W414" s="901"/>
      <c r="X414" s="901"/>
      <c r="Y414" s="1067" t="s">
        <v>195</v>
      </c>
      <c r="Z414" s="1063"/>
      <c r="AA414" s="1063"/>
      <c r="AB414" s="1063" t="s">
        <v>196</v>
      </c>
      <c r="AC414" s="1067" t="s">
        <v>263</v>
      </c>
      <c r="AD414" s="1063"/>
      <c r="AE414" s="1063"/>
      <c r="AF414" s="1063"/>
    </row>
    <row r="415" spans="1:32" s="16" customFormat="1" ht="28.5" customHeight="1" x14ac:dyDescent="0.2">
      <c r="A415" s="1033" t="str">
        <f>'[1]3.LRA'!C62</f>
        <v>Belanja Pakaian Khusus dan hari-hari tertentu</v>
      </c>
      <c r="B415" s="1063"/>
      <c r="C415" s="1063"/>
      <c r="D415" s="1063"/>
      <c r="E415" s="1074">
        <f>'[1]3.LRA'!D62</f>
        <v>37200000</v>
      </c>
      <c r="F415" s="1074"/>
      <c r="G415" s="1074"/>
      <c r="H415" s="1074"/>
      <c r="I415" s="1075"/>
      <c r="J415" s="1074">
        <f>'[1]3.LRA'!E62</f>
        <v>37200000</v>
      </c>
      <c r="K415" s="1074"/>
      <c r="L415" s="1074"/>
      <c r="M415" s="1074"/>
      <c r="N415" s="1075"/>
      <c r="O415" s="1076">
        <f>'[1]3.LRA'!I62</f>
        <v>30140000</v>
      </c>
      <c r="P415" s="1077"/>
      <c r="Q415" s="1077"/>
      <c r="R415" s="1077"/>
      <c r="S415" s="1078"/>
      <c r="T415" s="1028">
        <f t="shared" si="12"/>
        <v>23.424021234240211</v>
      </c>
      <c r="U415" s="1029"/>
      <c r="V415" s="810">
        <f t="shared" si="11"/>
        <v>100</v>
      </c>
      <c r="W415" s="901"/>
      <c r="X415" s="901"/>
      <c r="Y415" s="471">
        <f>E415-J415</f>
        <v>0</v>
      </c>
      <c r="Z415" s="472"/>
      <c r="AA415" s="472"/>
      <c r="AB415" s="472"/>
      <c r="AC415" s="471">
        <f>J415-O415</f>
        <v>7060000</v>
      </c>
      <c r="AD415" s="472"/>
      <c r="AE415" s="472"/>
      <c r="AF415" s="472"/>
    </row>
    <row r="416" spans="1:32" s="16" customFormat="1" ht="30.75" customHeight="1" x14ac:dyDescent="0.2">
      <c r="A416" s="1033" t="str">
        <f>'[1]3.LRA'!C63</f>
        <v>Belanja Honorarium Non Pegawai</v>
      </c>
      <c r="B416" s="1063"/>
      <c r="C416" s="1063"/>
      <c r="D416" s="1063"/>
      <c r="E416" s="1074">
        <f>'[1]3.LRA'!D63</f>
        <v>0</v>
      </c>
      <c r="F416" s="1074"/>
      <c r="G416" s="1074"/>
      <c r="H416" s="1074"/>
      <c r="I416" s="1075"/>
      <c r="J416" s="1074">
        <f>'[1]3.LRA'!E63</f>
        <v>0</v>
      </c>
      <c r="K416" s="1074"/>
      <c r="L416" s="1074"/>
      <c r="M416" s="1074"/>
      <c r="N416" s="1075"/>
      <c r="O416" s="1076">
        <f>'[1]3.LRA'!I63</f>
        <v>0</v>
      </c>
      <c r="P416" s="1077"/>
      <c r="Q416" s="1077"/>
      <c r="R416" s="1077"/>
      <c r="S416" s="1078"/>
      <c r="T416" s="1028">
        <v>0</v>
      </c>
      <c r="U416" s="1029"/>
      <c r="V416" s="810" t="e">
        <f t="shared" si="11"/>
        <v>#DIV/0!</v>
      </c>
      <c r="W416" s="901"/>
      <c r="X416" s="901"/>
      <c r="Y416" s="1067" t="s">
        <v>195</v>
      </c>
      <c r="Z416" s="1063"/>
      <c r="AA416" s="1063"/>
      <c r="AB416" s="1063" t="s">
        <v>196</v>
      </c>
      <c r="AC416" s="1067" t="s">
        <v>264</v>
      </c>
      <c r="AD416" s="1063"/>
      <c r="AE416" s="1063"/>
      <c r="AF416" s="1063"/>
    </row>
    <row r="417" spans="1:32" s="16" customFormat="1" ht="18.75" customHeight="1" x14ac:dyDescent="0.2">
      <c r="A417" s="1033" t="str">
        <f>'[1]3.LRA'!C64</f>
        <v>Honorarium PNS</v>
      </c>
      <c r="B417" s="1063"/>
      <c r="C417" s="1063"/>
      <c r="D417" s="1063"/>
      <c r="E417" s="1074">
        <f>'[1]3.LRA'!D64</f>
        <v>0</v>
      </c>
      <c r="F417" s="1074"/>
      <c r="G417" s="1074"/>
      <c r="H417" s="1074"/>
      <c r="I417" s="1075"/>
      <c r="J417" s="1074">
        <f>'[1]3.LRA'!E64</f>
        <v>0</v>
      </c>
      <c r="K417" s="1074"/>
      <c r="L417" s="1074"/>
      <c r="M417" s="1074"/>
      <c r="N417" s="1075"/>
      <c r="O417" s="1076">
        <f>'[1]3.LRA'!I64</f>
        <v>0</v>
      </c>
      <c r="P417" s="1077"/>
      <c r="Q417" s="1077"/>
      <c r="R417" s="1077"/>
      <c r="S417" s="1078"/>
      <c r="T417" s="1028">
        <v>0</v>
      </c>
      <c r="U417" s="1029"/>
      <c r="V417" s="810" t="e">
        <f t="shared" si="11"/>
        <v>#DIV/0!</v>
      </c>
      <c r="W417" s="901"/>
      <c r="X417" s="901"/>
      <c r="Y417" s="471">
        <f>E417-J417</f>
        <v>0</v>
      </c>
      <c r="Z417" s="472"/>
      <c r="AA417" s="472"/>
      <c r="AB417" s="472"/>
      <c r="AC417" s="471">
        <f>J417-O417</f>
        <v>0</v>
      </c>
      <c r="AD417" s="472"/>
      <c r="AE417" s="472"/>
      <c r="AF417" s="472"/>
    </row>
    <row r="418" spans="1:32" s="16" customFormat="1" ht="18.75" customHeight="1" x14ac:dyDescent="0.2">
      <c r="A418" s="1033" t="str">
        <f>'[1]3.LRA'!C65</f>
        <v>Honorarium Non PNS</v>
      </c>
      <c r="B418" s="1063"/>
      <c r="C418" s="1063"/>
      <c r="D418" s="1063"/>
      <c r="E418" s="1074">
        <f>'[1]3.LRA'!D65</f>
        <v>770928000</v>
      </c>
      <c r="F418" s="1074"/>
      <c r="G418" s="1074"/>
      <c r="H418" s="1074"/>
      <c r="I418" s="1075"/>
      <c r="J418" s="1074">
        <f>'[1]3.LRA'!E65</f>
        <v>759265000</v>
      </c>
      <c r="K418" s="1074"/>
      <c r="L418" s="1074"/>
      <c r="M418" s="1074"/>
      <c r="N418" s="1075"/>
      <c r="O418" s="1076">
        <f>'[1]3.LRA'!I65</f>
        <v>0</v>
      </c>
      <c r="P418" s="1077"/>
      <c r="Q418" s="1077"/>
      <c r="R418" s="1077"/>
      <c r="S418" s="1078"/>
      <c r="T418" s="1028">
        <v>0</v>
      </c>
      <c r="U418" s="1029"/>
      <c r="V418" s="810">
        <f t="shared" si="11"/>
        <v>98.487147956748231</v>
      </c>
      <c r="W418" s="901"/>
      <c r="X418" s="901"/>
      <c r="Y418" s="1067" t="s">
        <v>195</v>
      </c>
      <c r="Z418" s="1063"/>
      <c r="AA418" s="1063"/>
      <c r="AB418" s="1063" t="s">
        <v>196</v>
      </c>
      <c r="AC418" s="1067" t="s">
        <v>265</v>
      </c>
      <c r="AD418" s="1063"/>
      <c r="AE418" s="1063"/>
      <c r="AF418" s="1063"/>
    </row>
    <row r="419" spans="1:32" s="16" customFormat="1" ht="47.25" customHeight="1" x14ac:dyDescent="0.2">
      <c r="A419" s="1033" t="str">
        <f>'[1]3.LRA'!C66</f>
        <v>Belanja Stimulan, uang saku,hadiah penghargaan, penggantian biaya</v>
      </c>
      <c r="B419" s="1063"/>
      <c r="C419" s="1063"/>
      <c r="D419" s="1063"/>
      <c r="E419" s="1074">
        <f>'[1]3.LRA'!D66</f>
        <v>3750000</v>
      </c>
      <c r="F419" s="1074"/>
      <c r="G419" s="1074"/>
      <c r="H419" s="1074"/>
      <c r="I419" s="1075"/>
      <c r="J419" s="1074">
        <f>'[1]3.LRA'!E66</f>
        <v>3750000</v>
      </c>
      <c r="K419" s="1074"/>
      <c r="L419" s="1074"/>
      <c r="M419" s="1074"/>
      <c r="N419" s="1075"/>
      <c r="O419" s="1076">
        <f>'[1]3.LRA'!I66</f>
        <v>0</v>
      </c>
      <c r="P419" s="1077"/>
      <c r="Q419" s="1077"/>
      <c r="R419" s="1077"/>
      <c r="S419" s="1078"/>
      <c r="T419" s="1028">
        <v>0</v>
      </c>
      <c r="U419" s="1029"/>
      <c r="V419" s="810">
        <f t="shared" si="11"/>
        <v>100</v>
      </c>
      <c r="W419" s="901"/>
      <c r="X419" s="901"/>
      <c r="Y419" s="471">
        <f>E419-J419</f>
        <v>0</v>
      </c>
      <c r="Z419" s="472"/>
      <c r="AA419" s="472"/>
      <c r="AB419" s="472"/>
      <c r="AC419" s="471">
        <f>J419-O419</f>
        <v>3750000</v>
      </c>
      <c r="AD419" s="472"/>
      <c r="AE419" s="472"/>
      <c r="AF419" s="472"/>
    </row>
    <row r="420" spans="1:32" s="16" customFormat="1" ht="27" customHeight="1" x14ac:dyDescent="0.2">
      <c r="A420" s="1033" t="str">
        <f>'[1]3.LRA'!C67</f>
        <v>Belanja Barang dan Jasa BLUD</v>
      </c>
      <c r="B420" s="1063"/>
      <c r="C420" s="1063"/>
      <c r="D420" s="1063"/>
      <c r="E420" s="1074">
        <f>'[1]3.LRA'!D67</f>
        <v>0</v>
      </c>
      <c r="F420" s="1074"/>
      <c r="G420" s="1074"/>
      <c r="H420" s="1074"/>
      <c r="I420" s="1075"/>
      <c r="J420" s="1074">
        <f>'[1]3.LRA'!E67</f>
        <v>0</v>
      </c>
      <c r="K420" s="1074"/>
      <c r="L420" s="1074"/>
      <c r="M420" s="1074"/>
      <c r="N420" s="1075"/>
      <c r="O420" s="1076">
        <f>'[1]3.LRA'!I67</f>
        <v>0</v>
      </c>
      <c r="P420" s="1077"/>
      <c r="Q420" s="1077"/>
      <c r="R420" s="1077"/>
      <c r="S420" s="1078"/>
      <c r="T420" s="1028">
        <v>0</v>
      </c>
      <c r="U420" s="1029"/>
      <c r="V420" s="810" t="e">
        <f t="shared" si="11"/>
        <v>#DIV/0!</v>
      </c>
      <c r="W420" s="901"/>
      <c r="X420" s="901"/>
      <c r="Y420" s="471">
        <f>E420-J420</f>
        <v>0</v>
      </c>
      <c r="Z420" s="472"/>
      <c r="AA420" s="472"/>
      <c r="AB420" s="472"/>
      <c r="AC420" s="471">
        <f>J420-O420</f>
        <v>0</v>
      </c>
      <c r="AD420" s="472"/>
      <c r="AE420" s="472"/>
      <c r="AF420" s="472"/>
    </row>
    <row r="421" spans="1:32" s="16" customFormat="1" ht="18.75" customHeight="1" x14ac:dyDescent="0.2">
      <c r="A421" s="1081" t="s">
        <v>240</v>
      </c>
      <c r="B421" s="1044"/>
      <c r="C421" s="1044"/>
      <c r="D421" s="1045"/>
      <c r="E421" s="1082">
        <f>SUM(E403:I420)</f>
        <v>4695372718</v>
      </c>
      <c r="F421" s="1083"/>
      <c r="G421" s="1083"/>
      <c r="H421" s="1083"/>
      <c r="I421" s="1084"/>
      <c r="J421" s="1082">
        <f>SUM(J403:N420)</f>
        <v>4533400161</v>
      </c>
      <c r="K421" s="1083"/>
      <c r="L421" s="1083"/>
      <c r="M421" s="1083"/>
      <c r="N421" s="1084"/>
      <c r="O421" s="1082">
        <f>SUM(O403:S420)</f>
        <v>4283529828</v>
      </c>
      <c r="P421" s="1083"/>
      <c r="Q421" s="1083"/>
      <c r="R421" s="1083"/>
      <c r="S421" s="1084"/>
      <c r="T421" s="1085">
        <f t="shared" si="12"/>
        <v>5.833281033008836</v>
      </c>
      <c r="U421" s="1086"/>
      <c r="V421" s="810">
        <f t="shared" si="11"/>
        <v>96.55037913435352</v>
      </c>
      <c r="W421" s="901"/>
      <c r="X421" s="901"/>
      <c r="Y421" s="471">
        <f>E421-J421</f>
        <v>161972557</v>
      </c>
      <c r="Z421" s="472"/>
      <c r="AA421" s="472"/>
      <c r="AB421" s="472"/>
      <c r="AC421" s="471">
        <f>J421-O421</f>
        <v>249870333</v>
      </c>
      <c r="AD421" s="472"/>
      <c r="AE421" s="472"/>
      <c r="AF421" s="472"/>
    </row>
    <row r="422" spans="1:32" s="16" customFormat="1" ht="10.5" customHeight="1" x14ac:dyDescent="0.2">
      <c r="A422" s="14"/>
      <c r="B422" s="23"/>
      <c r="C422" s="23"/>
      <c r="D422" s="76"/>
      <c r="E422" s="77"/>
      <c r="F422" s="77"/>
      <c r="G422" s="77"/>
      <c r="H422" s="77"/>
      <c r="I422" s="77"/>
      <c r="J422" s="77"/>
      <c r="K422" s="77"/>
      <c r="L422" s="77"/>
      <c r="M422" s="77"/>
      <c r="N422" s="77"/>
      <c r="O422" s="77"/>
      <c r="P422" s="77"/>
      <c r="Q422" s="77"/>
      <c r="R422" s="77"/>
      <c r="S422" s="77"/>
      <c r="T422" s="37"/>
      <c r="U422" s="37"/>
    </row>
    <row r="423" spans="1:32" s="16" customFormat="1" ht="66" customHeight="1" x14ac:dyDescent="0.2">
      <c r="A423" s="14"/>
      <c r="B423" s="23"/>
      <c r="C423" s="23"/>
      <c r="D423" s="407" t="str">
        <f>"Belanja barang dan jasa  TA. "&amp;'[1]2.ISIAN DATA SKPD'!D11&amp;" dapat direalisasikan sebesar Rp. "&amp;FIXED(J421)&amp;" atau mencapai "&amp;FIXED(T421)&amp;"% dari TA "&amp;'[1]2.ISIAN DATA SKPD'!D12&amp;" sebesar Rp. "&amp;FIXED(O421)&amp;" atau kurang dari anggaran sebesar "&amp;FIXED(V421)&amp;"%."</f>
        <v>Belanja barang dan jasa  TA. 2018 dapat direalisasikan sebesar Rp. 4.533.400.161,00 atau mencapai 5,83% dari TA 2017 sebesar Rp. 4.283.529.828,00 atau kurang dari anggaran sebesar 96,55%.</v>
      </c>
      <c r="E423" s="407"/>
      <c r="F423" s="407"/>
      <c r="G423" s="407"/>
      <c r="H423" s="407"/>
      <c r="I423" s="407"/>
      <c r="J423" s="407"/>
      <c r="K423" s="407"/>
      <c r="L423" s="407"/>
      <c r="M423" s="407"/>
      <c r="N423" s="407"/>
      <c r="O423" s="407"/>
      <c r="P423" s="407"/>
      <c r="Q423" s="407"/>
      <c r="R423" s="407"/>
      <c r="S423" s="407"/>
      <c r="T423" s="407"/>
      <c r="U423" s="407"/>
      <c r="V423" s="23"/>
    </row>
    <row r="424" spans="1:32" s="16" customFormat="1" ht="24.75" customHeight="1" x14ac:dyDescent="0.2">
      <c r="A424" s="14"/>
      <c r="B424" s="23"/>
      <c r="C424" s="30" t="s">
        <v>154</v>
      </c>
      <c r="D424" s="54" t="s">
        <v>252</v>
      </c>
      <c r="E424" s="108"/>
      <c r="F424" s="77"/>
      <c r="G424" s="77"/>
      <c r="H424" s="77"/>
      <c r="I424" s="77"/>
      <c r="J424" s="77"/>
      <c r="K424" s="77"/>
      <c r="L424" s="77"/>
      <c r="M424" s="77"/>
      <c r="N424" s="77"/>
      <c r="O424" s="77"/>
      <c r="P424" s="77"/>
      <c r="Q424" s="77"/>
      <c r="R424" s="77"/>
      <c r="S424" s="77"/>
      <c r="T424" s="77"/>
      <c r="U424" s="77"/>
      <c r="V424" s="23"/>
    </row>
    <row r="425" spans="1:32" s="16" customFormat="1" ht="65.25" customHeight="1" x14ac:dyDescent="0.2">
      <c r="A425" s="21"/>
      <c r="D425" s="407" t="str">
        <f>"Belanja hibah  TA.2017 "&amp;'[1]2.ISIAN DATA SKPD'!D37&amp;" dapat direalisasikan sebesar Rp. "&amp;FIXED(J429)&amp;" atau mencapai "&amp;FIXED(V429)&amp;"% dari anggaran yang telah ditetapkan sebesar Rp. "&amp;FIXED(E429)&amp;" atau kurang dari anggaran sebesar Rp. "&amp;FIXED(Y429)&amp;""</f>
        <v>Belanja hibah  TA.2017  dapat direalisasikan sebesar Rp. 954.935.000,00 atau mencapai 37,89% dari anggaran yang telah ditetapkan sebesar Rp. 2.520.000.000,00 atau kurang dari anggaran sebesar Rp. 1.565.065.000,00</v>
      </c>
      <c r="E425" s="407"/>
      <c r="F425" s="407"/>
      <c r="G425" s="407"/>
      <c r="H425" s="407"/>
      <c r="I425" s="407"/>
      <c r="J425" s="407"/>
      <c r="K425" s="407"/>
      <c r="L425" s="407"/>
      <c r="M425" s="407"/>
      <c r="N425" s="407"/>
      <c r="O425" s="407"/>
      <c r="P425" s="407"/>
      <c r="Q425" s="407"/>
      <c r="R425" s="407"/>
      <c r="S425" s="407"/>
      <c r="T425" s="407"/>
      <c r="U425" s="407"/>
      <c r="V425" s="23"/>
    </row>
    <row r="426" spans="1:32" s="16" customFormat="1" ht="58.5" customHeight="1" x14ac:dyDescent="0.2">
      <c r="A426" s="14"/>
      <c r="D426" s="407" t="str">
        <f>"Bila dibandingkan dengan TA 2016 "&amp;'[1]2.ISIAN DATA SKPD'!D38&amp;", Realisasi belanja barang  TA 2017 "&amp;'[1]2.ISIAN DATA SKPD'!D37&amp;" mengalami kenaikan sebesar Rp. "&amp;FIXED(AC429)&amp;"  atau "&amp;FIXED(T429)&amp;"%. Realisai belanja barang  dapat dilihat pada tabel dibawah ini."</f>
        <v>Bila dibandingkan dengan TA 2016 , Realisasi belanja barang  TA 2017  mengalami kenaikan sebesar Rp. 954.935.000,00  atau 100,00%. Realisai belanja barang  dapat dilihat pada tabel dibawah ini.</v>
      </c>
      <c r="E426" s="407"/>
      <c r="F426" s="407"/>
      <c r="G426" s="407"/>
      <c r="H426" s="407"/>
      <c r="I426" s="407"/>
      <c r="J426" s="407"/>
      <c r="K426" s="407"/>
      <c r="L426" s="407"/>
      <c r="M426" s="407"/>
      <c r="N426" s="407"/>
      <c r="O426" s="407"/>
      <c r="P426" s="407"/>
      <c r="Q426" s="407"/>
      <c r="R426" s="407"/>
      <c r="S426" s="407"/>
      <c r="T426" s="407"/>
      <c r="U426" s="407"/>
      <c r="V426" s="23"/>
    </row>
    <row r="427" spans="1:32" s="16" customFormat="1" ht="19.5" customHeight="1" x14ac:dyDescent="0.2">
      <c r="A427" s="14"/>
      <c r="B427" s="452" t="str">
        <f>"Perbandingan Hibah  TA "&amp;'[1]2.ISIAN DATA SKPD'!D37&amp;" dan "&amp;'[1]2.ISIAN DATA SKPD'!D38&amp;""</f>
        <v xml:space="preserve">Perbandingan Hibah  TA  dan </v>
      </c>
      <c r="C427" s="452"/>
      <c r="D427" s="452"/>
      <c r="E427" s="452"/>
      <c r="F427" s="452"/>
      <c r="G427" s="452"/>
      <c r="H427" s="452"/>
      <c r="I427" s="452"/>
      <c r="J427" s="452"/>
      <c r="K427" s="452"/>
      <c r="L427" s="452"/>
      <c r="M427" s="452"/>
      <c r="N427" s="452"/>
      <c r="O427" s="452"/>
      <c r="P427" s="452"/>
      <c r="Q427" s="452"/>
      <c r="R427" s="452"/>
      <c r="S427" s="452"/>
      <c r="T427" s="452"/>
      <c r="U427" s="452"/>
      <c r="V427" s="23"/>
    </row>
    <row r="428" spans="1:32" s="16" customFormat="1" ht="27.75" customHeight="1" x14ac:dyDescent="0.2">
      <c r="A428" s="1020" t="s">
        <v>252</v>
      </c>
      <c r="B428" s="1021"/>
      <c r="C428" s="1021"/>
      <c r="D428" s="1021"/>
      <c r="E428" s="1032" t="s">
        <v>192</v>
      </c>
      <c r="F428" s="1032"/>
      <c r="G428" s="1032"/>
      <c r="H428" s="1032"/>
      <c r="I428" s="1032"/>
      <c r="J428" s="1020" t="str">
        <f>J402</f>
        <v>Realisasi                      TA 2018</v>
      </c>
      <c r="K428" s="1021"/>
      <c r="L428" s="1021"/>
      <c r="M428" s="1021"/>
      <c r="N428" s="1022"/>
      <c r="O428" s="1020" t="str">
        <f>O402</f>
        <v>Realisasi                   TA 2017</v>
      </c>
      <c r="P428" s="1021"/>
      <c r="Q428" s="1021"/>
      <c r="R428" s="1021"/>
      <c r="S428" s="1022"/>
      <c r="T428" s="1023" t="s">
        <v>247</v>
      </c>
      <c r="U428" s="1024"/>
      <c r="V428" s="810" t="s">
        <v>196</v>
      </c>
      <c r="W428" s="901"/>
      <c r="X428" s="901"/>
      <c r="Y428" s="1067" t="s">
        <v>195</v>
      </c>
      <c r="Z428" s="1063"/>
      <c r="AA428" s="1063"/>
      <c r="AB428" s="1063" t="s">
        <v>196</v>
      </c>
      <c r="AC428" s="1067" t="s">
        <v>197</v>
      </c>
      <c r="AD428" s="1063"/>
      <c r="AE428" s="1063"/>
      <c r="AF428" s="1063"/>
    </row>
    <row r="429" spans="1:32" s="16" customFormat="1" ht="47.25" customHeight="1" x14ac:dyDescent="0.2">
      <c r="A429" s="1033" t="str">
        <f>'[1]3.LRA'!C60</f>
        <v>Belanja Hibah Barang atau Jasa kepada Masyarakat/pihak ketiga</v>
      </c>
      <c r="B429" s="1033"/>
      <c r="C429" s="1033"/>
      <c r="D429" s="1033"/>
      <c r="E429" s="1074">
        <f>'[1]3.LRA'!D60</f>
        <v>2520000000</v>
      </c>
      <c r="F429" s="1074"/>
      <c r="G429" s="1074"/>
      <c r="H429" s="1074"/>
      <c r="I429" s="1075"/>
      <c r="J429" s="1074">
        <f>'[1]3.LRA'!E60</f>
        <v>954935000</v>
      </c>
      <c r="K429" s="1074"/>
      <c r="L429" s="1074"/>
      <c r="M429" s="1074"/>
      <c r="N429" s="1075"/>
      <c r="O429" s="1076">
        <f>'[1]3.LRA'!I74</f>
        <v>0</v>
      </c>
      <c r="P429" s="1077"/>
      <c r="Q429" s="1077"/>
      <c r="R429" s="1077"/>
      <c r="S429" s="1078"/>
      <c r="T429" s="1079">
        <v>100</v>
      </c>
      <c r="U429" s="1080"/>
      <c r="V429" s="810">
        <f>J429/E429*100</f>
        <v>37.894246031746029</v>
      </c>
      <c r="W429" s="901"/>
      <c r="X429" s="901"/>
      <c r="Y429" s="471">
        <f>E429-J429</f>
        <v>1565065000</v>
      </c>
      <c r="Z429" s="472"/>
      <c r="AA429" s="472"/>
      <c r="AB429" s="472"/>
      <c r="AC429" s="471">
        <f>J429-O429</f>
        <v>954935000</v>
      </c>
      <c r="AD429" s="472"/>
      <c r="AE429" s="472"/>
      <c r="AF429" s="472"/>
    </row>
    <row r="430" spans="1:32" s="16" customFormat="1" x14ac:dyDescent="0.2">
      <c r="A430" s="109"/>
      <c r="B430" s="109"/>
      <c r="C430" s="109"/>
      <c r="D430" s="109"/>
      <c r="E430" s="110"/>
      <c r="F430" s="110"/>
      <c r="G430" s="110"/>
      <c r="H430" s="110"/>
      <c r="I430" s="110"/>
      <c r="J430" s="110"/>
      <c r="K430" s="110"/>
      <c r="L430" s="110"/>
      <c r="M430" s="110"/>
      <c r="N430" s="110"/>
      <c r="O430" s="110"/>
      <c r="P430" s="110"/>
      <c r="Q430" s="110"/>
      <c r="R430" s="110"/>
      <c r="S430" s="110"/>
      <c r="T430" s="111"/>
      <c r="U430" s="111"/>
      <c r="V430" s="112"/>
      <c r="W430" s="112"/>
      <c r="X430" s="112"/>
      <c r="Y430" s="113"/>
      <c r="Z430" s="114"/>
      <c r="AA430" s="114"/>
      <c r="AB430" s="114"/>
      <c r="AC430" s="113"/>
      <c r="AD430" s="114"/>
      <c r="AE430" s="114"/>
      <c r="AF430" s="114"/>
    </row>
    <row r="431" spans="1:32" s="16" customFormat="1" x14ac:dyDescent="0.2">
      <c r="A431" s="109"/>
      <c r="B431" s="109"/>
      <c r="C431" s="30" t="s">
        <v>155</v>
      </c>
      <c r="D431" s="54" t="s">
        <v>253</v>
      </c>
      <c r="E431" s="110"/>
      <c r="F431" s="110"/>
      <c r="G431" s="110"/>
      <c r="H431" s="110"/>
      <c r="I431" s="110"/>
      <c r="J431" s="110"/>
      <c r="K431" s="110"/>
      <c r="L431" s="110"/>
      <c r="M431" s="110"/>
      <c r="N431" s="110"/>
      <c r="O431" s="110"/>
      <c r="P431" s="110"/>
      <c r="Q431" s="110"/>
      <c r="R431" s="110"/>
      <c r="S431" s="110"/>
      <c r="T431" s="111"/>
      <c r="U431" s="111"/>
      <c r="V431" s="112"/>
      <c r="W431" s="112"/>
      <c r="X431" s="112"/>
      <c r="Y431" s="113"/>
      <c r="Z431" s="114"/>
      <c r="AA431" s="114"/>
      <c r="AB431" s="114"/>
      <c r="AC431" s="113"/>
      <c r="AD431" s="114"/>
      <c r="AE431" s="114"/>
      <c r="AF431" s="114"/>
    </row>
    <row r="432" spans="1:32" s="16" customFormat="1" ht="66" customHeight="1" x14ac:dyDescent="0.2">
      <c r="A432" s="21"/>
      <c r="D432" s="407" t="str">
        <f>"Belanja barang  TA. 2017 "&amp;'[1]2.ISIAN DATA SKPD'!D44&amp;" dapat direalisasikan sebesar Rp. "&amp;FIXED(J436)&amp;" atau mencapai "&amp;FIXED(V436)&amp;"% dari anggaran yang telah ditetapkan sebesar Rp. "&amp;FIXED(E436)&amp;" atau kurang dari anggaran sebesar Rp. "&amp;FIXED(AC436)&amp;""</f>
        <v>Belanja barang  TA. 2017  dapat direalisasikan sebesar Rp. 109.000.000,00 atau mencapai 100,00% dari anggaran yang telah ditetapkan sebesar Rp. 109.000.000,00 atau kurang dari anggaran sebesar Rp. 109.000.000,00</v>
      </c>
      <c r="E432" s="407"/>
      <c r="F432" s="407"/>
      <c r="G432" s="407"/>
      <c r="H432" s="407"/>
      <c r="I432" s="407"/>
      <c r="J432" s="407"/>
      <c r="K432" s="407"/>
      <c r="L432" s="407"/>
      <c r="M432" s="407"/>
      <c r="N432" s="407"/>
      <c r="O432" s="407"/>
      <c r="P432" s="407"/>
      <c r="Q432" s="407"/>
      <c r="R432" s="407"/>
      <c r="S432" s="407"/>
      <c r="T432" s="407"/>
      <c r="U432" s="407"/>
      <c r="V432" s="23"/>
    </row>
    <row r="433" spans="1:39" s="16" customFormat="1" ht="61.5" customHeight="1" x14ac:dyDescent="0.2">
      <c r="A433" s="14"/>
      <c r="D433" s="407" t="str">
        <f>"Bila dibandingkan dengan TA 2016 "&amp;'[1]2.ISIAN DATA SKPD'!D45&amp;", Realisasi belanja barang  TA 2017"&amp;'[1]2.ISIAN DATA SKPD'!D44&amp;" mengalami kenaikan sebesar Rp. "&amp;FIXED(AC436)&amp;"  atau "&amp;FIXED(T436)&amp;"%. Realisai belanja barang  dapat dilihat pada tabel dibawah ini."</f>
        <v>Bila dibandingkan dengan TA 2016 , Realisasi belanja barang  TA 2017 mengalami kenaikan sebesar Rp. 109.000.000,00  atau 100,00%. Realisai belanja barang  dapat dilihat pada tabel dibawah ini.</v>
      </c>
      <c r="E433" s="407"/>
      <c r="F433" s="407"/>
      <c r="G433" s="407"/>
      <c r="H433" s="407"/>
      <c r="I433" s="407"/>
      <c r="J433" s="407"/>
      <c r="K433" s="407"/>
      <c r="L433" s="407"/>
      <c r="M433" s="407"/>
      <c r="N433" s="407"/>
      <c r="O433" s="407"/>
      <c r="P433" s="407"/>
      <c r="Q433" s="407"/>
      <c r="R433" s="407"/>
      <c r="S433" s="407"/>
      <c r="T433" s="407"/>
      <c r="U433" s="407"/>
      <c r="V433" s="23"/>
    </row>
    <row r="434" spans="1:39" s="16" customFormat="1" x14ac:dyDescent="0.2">
      <c r="A434" s="14"/>
      <c r="B434" s="452" t="str">
        <f>"Perbandingan Hibah  TA "&amp;'[1]2.ISIAN DATA SKPD'!D44&amp;" dan "&amp;'[1]2.ISIAN DATA SKPD'!D45&amp;""</f>
        <v xml:space="preserve">Perbandingan Hibah  TA  dan </v>
      </c>
      <c r="C434" s="452"/>
      <c r="D434" s="452"/>
      <c r="E434" s="452"/>
      <c r="F434" s="452"/>
      <c r="G434" s="452"/>
      <c r="H434" s="452"/>
      <c r="I434" s="452"/>
      <c r="J434" s="452"/>
      <c r="K434" s="452"/>
      <c r="L434" s="452"/>
      <c r="M434" s="452"/>
      <c r="N434" s="452"/>
      <c r="O434" s="452"/>
      <c r="P434" s="452"/>
      <c r="Q434" s="452"/>
      <c r="R434" s="452"/>
      <c r="S434" s="452"/>
      <c r="T434" s="452"/>
      <c r="U434" s="452"/>
      <c r="V434" s="23"/>
    </row>
    <row r="435" spans="1:39" s="16" customFormat="1" ht="28.5" customHeight="1" x14ac:dyDescent="0.2">
      <c r="A435" s="1020" t="s">
        <v>253</v>
      </c>
      <c r="B435" s="1021"/>
      <c r="C435" s="1021"/>
      <c r="D435" s="1021"/>
      <c r="E435" s="1032" t="s">
        <v>192</v>
      </c>
      <c r="F435" s="1032"/>
      <c r="G435" s="1032"/>
      <c r="H435" s="1032"/>
      <c r="I435" s="1032"/>
      <c r="J435" s="1020" t="str">
        <f>J428</f>
        <v>Realisasi                      TA 2018</v>
      </c>
      <c r="K435" s="1021"/>
      <c r="L435" s="1021"/>
      <c r="M435" s="1021"/>
      <c r="N435" s="1022"/>
      <c r="O435" s="1020" t="str">
        <f>O428</f>
        <v>Realisasi                   TA 2017</v>
      </c>
      <c r="P435" s="1021"/>
      <c r="Q435" s="1021"/>
      <c r="R435" s="1021"/>
      <c r="S435" s="1022"/>
      <c r="T435" s="1023" t="s">
        <v>247</v>
      </c>
      <c r="U435" s="1024"/>
      <c r="V435" s="810" t="s">
        <v>196</v>
      </c>
      <c r="W435" s="901"/>
      <c r="X435" s="901"/>
      <c r="Y435" s="1067" t="s">
        <v>195</v>
      </c>
      <c r="Z435" s="1063"/>
      <c r="AA435" s="1063"/>
      <c r="AB435" s="1063" t="s">
        <v>196</v>
      </c>
      <c r="AC435" s="1067" t="s">
        <v>197</v>
      </c>
      <c r="AD435" s="1063"/>
      <c r="AE435" s="1063"/>
      <c r="AF435" s="1063"/>
    </row>
    <row r="436" spans="1:39" s="16" customFormat="1" ht="49.5" customHeight="1" x14ac:dyDescent="0.2">
      <c r="A436" s="1033" t="str">
        <f>'[1]3.LRA'!C61</f>
        <v>Uang untuk diberikan kepada masyarakat/pihak ketiga</v>
      </c>
      <c r="B436" s="1033"/>
      <c r="C436" s="1033"/>
      <c r="D436" s="1033"/>
      <c r="E436" s="1074">
        <f>'[1]3.LRA'!D61</f>
        <v>109000000</v>
      </c>
      <c r="F436" s="1074"/>
      <c r="G436" s="1074"/>
      <c r="H436" s="1074"/>
      <c r="I436" s="1075"/>
      <c r="J436" s="1074">
        <f>'[1]3.LRA'!E61</f>
        <v>109000000</v>
      </c>
      <c r="K436" s="1074"/>
      <c r="L436" s="1074"/>
      <c r="M436" s="1074"/>
      <c r="N436" s="1075"/>
      <c r="O436" s="1076">
        <f>'[1]3.LRA'!I81</f>
        <v>0</v>
      </c>
      <c r="P436" s="1077"/>
      <c r="Q436" s="1077"/>
      <c r="R436" s="1077"/>
      <c r="S436" s="1078"/>
      <c r="T436" s="1079">
        <v>100</v>
      </c>
      <c r="U436" s="1080"/>
      <c r="V436" s="810">
        <f>J436/E436*100</f>
        <v>100</v>
      </c>
      <c r="W436" s="901"/>
      <c r="X436" s="901"/>
      <c r="Y436" s="471">
        <f>E436-J436</f>
        <v>0</v>
      </c>
      <c r="Z436" s="472"/>
      <c r="AA436" s="472"/>
      <c r="AB436" s="472"/>
      <c r="AC436" s="471">
        <f>J436-O436</f>
        <v>109000000</v>
      </c>
      <c r="AD436" s="472"/>
      <c r="AE436" s="472"/>
      <c r="AF436" s="472"/>
    </row>
    <row r="437" spans="1:39" s="16" customFormat="1" ht="10.5" customHeight="1" x14ac:dyDescent="0.2">
      <c r="A437" s="109"/>
      <c r="B437" s="109"/>
      <c r="C437" s="109"/>
      <c r="D437" s="109"/>
      <c r="E437" s="110"/>
      <c r="F437" s="110"/>
      <c r="G437" s="110"/>
      <c r="H437" s="110"/>
      <c r="I437" s="110"/>
      <c r="J437" s="110"/>
      <c r="K437" s="110"/>
      <c r="L437" s="110"/>
      <c r="M437" s="110"/>
      <c r="N437" s="110"/>
      <c r="O437" s="110"/>
      <c r="P437" s="110"/>
      <c r="Q437" s="110"/>
      <c r="R437" s="110"/>
      <c r="S437" s="110"/>
      <c r="T437" s="111"/>
      <c r="U437" s="111"/>
      <c r="V437" s="112"/>
      <c r="W437" s="112"/>
      <c r="X437" s="112"/>
      <c r="Y437" s="113"/>
      <c r="Z437" s="114"/>
      <c r="AA437" s="114"/>
      <c r="AB437" s="114"/>
      <c r="AC437" s="113"/>
      <c r="AD437" s="114"/>
      <c r="AE437" s="114"/>
      <c r="AF437" s="114"/>
    </row>
    <row r="438" spans="1:39" s="16" customFormat="1" ht="9.75" customHeight="1" x14ac:dyDescent="0.2">
      <c r="A438" s="109"/>
      <c r="B438" s="109"/>
      <c r="C438" s="109"/>
      <c r="D438" s="109"/>
      <c r="E438" s="110"/>
      <c r="F438" s="110"/>
      <c r="G438" s="110"/>
      <c r="H438" s="110"/>
      <c r="I438" s="110"/>
      <c r="J438" s="110"/>
      <c r="K438" s="110"/>
      <c r="L438" s="110"/>
      <c r="M438" s="110"/>
      <c r="N438" s="110"/>
      <c r="O438" s="110"/>
      <c r="P438" s="110"/>
      <c r="Q438" s="110"/>
      <c r="R438" s="110"/>
      <c r="S438" s="110"/>
      <c r="T438" s="111"/>
      <c r="U438" s="111"/>
      <c r="V438" s="112"/>
      <c r="W438" s="112"/>
      <c r="X438" s="112"/>
      <c r="Y438" s="113"/>
      <c r="Z438" s="114"/>
      <c r="AA438" s="114"/>
      <c r="AB438" s="114"/>
      <c r="AC438" s="113"/>
      <c r="AD438" s="114"/>
      <c r="AE438" s="114"/>
      <c r="AF438" s="114"/>
    </row>
    <row r="439" spans="1:39" s="16" customFormat="1" ht="17.25" customHeight="1" x14ac:dyDescent="0.2">
      <c r="A439" s="429"/>
      <c r="C439" s="30" t="s">
        <v>156</v>
      </c>
      <c r="D439" s="54" t="s">
        <v>266</v>
      </c>
      <c r="E439" s="108"/>
      <c r="F439" s="54"/>
      <c r="G439" s="54"/>
      <c r="H439" s="23"/>
      <c r="I439" s="23"/>
      <c r="J439" s="23"/>
      <c r="K439" s="23"/>
      <c r="L439" s="29"/>
      <c r="M439" s="29"/>
      <c r="N439" s="29"/>
      <c r="O439" s="29"/>
      <c r="P439" s="29"/>
      <c r="Q439" s="29"/>
      <c r="R439" s="29"/>
      <c r="S439" s="29"/>
      <c r="T439" s="20"/>
      <c r="U439" s="20"/>
      <c r="V439" s="23"/>
    </row>
    <row r="440" spans="1:39" s="16" customFormat="1" ht="47.25" customHeight="1" x14ac:dyDescent="0.2">
      <c r="A440" s="429"/>
      <c r="C440" s="30"/>
      <c r="D440" s="407" t="s">
        <v>267</v>
      </c>
      <c r="E440" s="407"/>
      <c r="F440" s="407"/>
      <c r="G440" s="407"/>
      <c r="H440" s="407"/>
      <c r="I440" s="407"/>
      <c r="J440" s="407"/>
      <c r="K440" s="407"/>
      <c r="L440" s="407"/>
      <c r="M440" s="407"/>
      <c r="N440" s="407"/>
      <c r="O440" s="407"/>
      <c r="P440" s="407"/>
      <c r="Q440" s="407"/>
      <c r="R440" s="407"/>
      <c r="S440" s="407"/>
      <c r="T440" s="407"/>
      <c r="U440" s="407"/>
      <c r="V440" s="23"/>
    </row>
    <row r="441" spans="1:39" s="16" customFormat="1" ht="96.75" customHeight="1" x14ac:dyDescent="0.2">
      <c r="A441" s="429"/>
      <c r="D441" s="407" t="str">
        <f>"Belanja Modal TA "&amp;'[1]2.ISIAN DATA SKPD'!D11&amp;"  dapat terealisasi sebesar Rp."&amp;FIXED(J453)&amp;" atau mencapai "&amp;FIXED(V453)&amp;"% dari anggaran yang telah ditetapkan sebesar Rp. "&amp;FIXED(E453)&amp;" atau kurang dari anggaran sebesar Rp. "&amp;FIXED(Y453)&amp;"."&amp;V441&amp;""</f>
        <v>Belanja Modal TA 2018  dapat terealisasi sebesar Rp.82.667.202.576,00 atau mencapai 519,98% dari anggaran yang telah ditetapkan sebesar Rp. 15.898.136.000,00 atau kurang dari anggaran sebesar Rp. -66.769.066.576,00.Bila dibandingkan dengan TA 2017, Realisasi Belanja Modal TA 2018 mengalami kenaikan sebesar Rp. 80.178.636.576,00  atau 3.221,88%.</v>
      </c>
      <c r="E441" s="407"/>
      <c r="F441" s="407"/>
      <c r="G441" s="407"/>
      <c r="H441" s="407"/>
      <c r="I441" s="407"/>
      <c r="J441" s="407"/>
      <c r="K441" s="407"/>
      <c r="L441" s="407"/>
      <c r="M441" s="407"/>
      <c r="N441" s="407"/>
      <c r="O441" s="407"/>
      <c r="P441" s="407"/>
      <c r="Q441" s="407"/>
      <c r="R441" s="407"/>
      <c r="S441" s="407"/>
      <c r="T441" s="407"/>
      <c r="U441" s="407"/>
      <c r="V441" s="532" t="str">
        <f>"Bila dibandingkan dengan TA "&amp;'[1]2.ISIAN DATA SKPD'!D12&amp;", Realisasi Belanja Modal TA "&amp;'[1]2.ISIAN DATA SKPD'!D11&amp;" mengalami kenaikan sebesar Rp. "&amp;FIXED('[1]3.LRA'!L68)&amp;"  atau "&amp;FIXED('[1]3.LRA'!K68)&amp;"%."</f>
        <v>Bila dibandingkan dengan TA 2017, Realisasi Belanja Modal TA 2018 mengalami kenaikan sebesar Rp. 80.178.636.576,00  atau 3.221,88%.</v>
      </c>
      <c r="W441" s="532"/>
      <c r="X441" s="532"/>
      <c r="Y441" s="532"/>
      <c r="Z441" s="532"/>
      <c r="AA441" s="532"/>
      <c r="AB441" s="532"/>
      <c r="AC441" s="532"/>
      <c r="AD441" s="532"/>
      <c r="AE441" s="532"/>
      <c r="AF441" s="532"/>
      <c r="AG441" s="532"/>
      <c r="AH441" s="532"/>
      <c r="AI441" s="532"/>
      <c r="AJ441" s="532"/>
      <c r="AK441" s="532"/>
      <c r="AL441" s="532"/>
      <c r="AM441" s="532"/>
    </row>
    <row r="442" spans="1:39" s="16" customFormat="1" ht="9" customHeight="1" x14ac:dyDescent="0.2">
      <c r="A442" s="21"/>
      <c r="D442" s="77"/>
      <c r="E442" s="77"/>
      <c r="F442" s="77"/>
      <c r="G442" s="77"/>
      <c r="H442" s="77"/>
      <c r="I442" s="77"/>
      <c r="J442" s="77"/>
      <c r="K442" s="77"/>
      <c r="L442" s="77"/>
      <c r="M442" s="77"/>
      <c r="N442" s="77"/>
      <c r="O442" s="77"/>
      <c r="P442" s="77"/>
      <c r="Q442" s="77"/>
      <c r="R442" s="77"/>
      <c r="S442" s="77"/>
      <c r="T442" s="77"/>
      <c r="U442" s="77"/>
      <c r="V442" s="103"/>
      <c r="W442" s="103"/>
      <c r="X442" s="103"/>
      <c r="Y442" s="103"/>
      <c r="Z442" s="103"/>
      <c r="AA442" s="103"/>
      <c r="AB442" s="103"/>
      <c r="AC442" s="103"/>
      <c r="AD442" s="103"/>
      <c r="AE442" s="103"/>
      <c r="AF442" s="103"/>
      <c r="AG442" s="103"/>
      <c r="AH442" s="103"/>
      <c r="AI442" s="103"/>
      <c r="AJ442" s="103"/>
      <c r="AK442" s="103"/>
      <c r="AL442" s="103"/>
      <c r="AM442" s="103"/>
    </row>
    <row r="443" spans="1:39" s="16" customFormat="1" ht="30.75" customHeight="1" x14ac:dyDescent="0.2">
      <c r="A443" s="14"/>
      <c r="D443" s="407" t="str">
        <f>"Adapun perbandingan Belanja Modal pada TA "&amp;'[1]2.ISIAN DATA SKPD'!D11&amp;" TA "&amp;'[1]2.ISIAN DATA SKPD'!D12&amp;" sebagaimana tabel berikut."</f>
        <v>Adapun perbandingan Belanja Modal pada TA 2018 TA 2017 sebagaimana tabel berikut.</v>
      </c>
      <c r="E443" s="407"/>
      <c r="F443" s="407"/>
      <c r="G443" s="407"/>
      <c r="H443" s="407"/>
      <c r="I443" s="407"/>
      <c r="J443" s="407"/>
      <c r="K443" s="407"/>
      <c r="L443" s="407"/>
      <c r="M443" s="407"/>
      <c r="N443" s="407"/>
      <c r="O443" s="407"/>
      <c r="P443" s="407"/>
      <c r="Q443" s="407"/>
      <c r="R443" s="407"/>
      <c r="S443" s="407"/>
      <c r="T443" s="407"/>
      <c r="U443" s="407"/>
      <c r="V443" s="23"/>
    </row>
    <row r="444" spans="1:39" s="16" customFormat="1" ht="13.5" customHeight="1" x14ac:dyDescent="0.2">
      <c r="A444" s="14"/>
      <c r="D444" s="77"/>
      <c r="E444" s="77"/>
      <c r="F444" s="77"/>
      <c r="G444" s="77"/>
      <c r="H444" s="77"/>
      <c r="I444" s="77"/>
      <c r="J444" s="77"/>
      <c r="K444" s="77"/>
      <c r="L444" s="77"/>
      <c r="M444" s="77"/>
      <c r="N444" s="77"/>
      <c r="O444" s="77"/>
      <c r="P444" s="77"/>
      <c r="Q444" s="77"/>
      <c r="R444" s="77"/>
      <c r="S444" s="77"/>
      <c r="T444" s="77"/>
      <c r="U444" s="77"/>
      <c r="V444" s="23"/>
    </row>
    <row r="445" spans="1:39" s="16" customFormat="1" ht="27" customHeight="1" x14ac:dyDescent="0.2">
      <c r="A445" s="14"/>
      <c r="B445" s="424" t="str">
        <f>"Perbandingan Realisasi Belanja Modal TA "&amp;'[1]2.ISIAN DATA SKPD'!D11&amp;" dan "&amp;'[1]2.ISIAN DATA SKPD'!D12&amp;""</f>
        <v>Perbandingan Realisasi Belanja Modal TA 2018 dan 2017</v>
      </c>
      <c r="C445" s="424"/>
      <c r="D445" s="424"/>
      <c r="E445" s="424"/>
      <c r="F445" s="424"/>
      <c r="G445" s="424"/>
      <c r="H445" s="424"/>
      <c r="I445" s="424"/>
      <c r="J445" s="424"/>
      <c r="K445" s="424"/>
      <c r="L445" s="424"/>
      <c r="M445" s="424"/>
      <c r="N445" s="424"/>
      <c r="O445" s="424"/>
      <c r="P445" s="424"/>
      <c r="Q445" s="424"/>
      <c r="R445" s="424"/>
      <c r="S445" s="424"/>
      <c r="T445" s="424"/>
      <c r="U445" s="424"/>
      <c r="V445" s="23"/>
    </row>
    <row r="446" spans="1:39" s="16" customFormat="1" ht="35.25" customHeight="1" x14ac:dyDescent="0.2">
      <c r="A446" s="1020" t="s">
        <v>266</v>
      </c>
      <c r="B446" s="1021"/>
      <c r="C446" s="1021"/>
      <c r="D446" s="1021"/>
      <c r="E446" s="1032" t="s">
        <v>192</v>
      </c>
      <c r="F446" s="1032"/>
      <c r="G446" s="1032"/>
      <c r="H446" s="1032"/>
      <c r="I446" s="1032"/>
      <c r="J446" s="425" t="str">
        <f>J402</f>
        <v>Realisasi                      TA 2018</v>
      </c>
      <c r="K446" s="426"/>
      <c r="L446" s="426"/>
      <c r="M446" s="426"/>
      <c r="N446" s="427"/>
      <c r="O446" s="425" t="str">
        <f>O402</f>
        <v>Realisasi                   TA 2017</v>
      </c>
      <c r="P446" s="426"/>
      <c r="Q446" s="426"/>
      <c r="R446" s="426"/>
      <c r="S446" s="427"/>
      <c r="T446" s="1051" t="s">
        <v>247</v>
      </c>
      <c r="U446" s="1052"/>
      <c r="V446" s="810" t="s">
        <v>196</v>
      </c>
      <c r="W446" s="901"/>
      <c r="X446" s="901"/>
      <c r="Y446" s="1067" t="s">
        <v>195</v>
      </c>
      <c r="Z446" s="1063"/>
      <c r="AA446" s="1063"/>
      <c r="AB446" s="1063" t="s">
        <v>196</v>
      </c>
      <c r="AC446" s="1067" t="s">
        <v>197</v>
      </c>
      <c r="AD446" s="1063"/>
      <c r="AE446" s="1063"/>
      <c r="AF446" s="1063"/>
    </row>
    <row r="447" spans="1:39" s="16" customFormat="1" ht="18.75" customHeight="1" x14ac:dyDescent="0.2">
      <c r="A447" s="1071" t="str">
        <f>'[1]3.LRA'!C120</f>
        <v>Belanja Tanah</v>
      </c>
      <c r="B447" s="1071"/>
      <c r="C447" s="1071"/>
      <c r="D447" s="1071"/>
      <c r="E447" s="832">
        <f>'[1]3.LRA'!D69</f>
        <v>3000000000</v>
      </c>
      <c r="F447" s="1072"/>
      <c r="G447" s="1072"/>
      <c r="H447" s="1072"/>
      <c r="I447" s="1073"/>
      <c r="J447" s="832">
        <f>'[1]3.LRA'!E120</f>
        <v>2892437048</v>
      </c>
      <c r="K447" s="1072"/>
      <c r="L447" s="1072"/>
      <c r="M447" s="1072"/>
      <c r="N447" s="1073"/>
      <c r="O447" s="832">
        <f>'[1]3.LRA'!F120</f>
        <v>0</v>
      </c>
      <c r="P447" s="1072"/>
      <c r="Q447" s="1072"/>
      <c r="R447" s="1072"/>
      <c r="S447" s="1073"/>
      <c r="T447" s="1028">
        <v>0</v>
      </c>
      <c r="U447" s="1029"/>
      <c r="V447" s="810">
        <f t="shared" ref="V447:V453" si="13">J447/E447*100</f>
        <v>96.414568266666663</v>
      </c>
      <c r="W447" s="901"/>
      <c r="X447" s="901"/>
      <c r="Y447" s="471">
        <f t="shared" ref="Y447:Y453" si="14">E447-J447</f>
        <v>107562952</v>
      </c>
      <c r="Z447" s="472"/>
      <c r="AA447" s="472"/>
      <c r="AB447" s="472"/>
      <c r="AC447" s="471">
        <f t="shared" ref="AC447:AC453" si="15">J447-O447</f>
        <v>2892437048</v>
      </c>
      <c r="AD447" s="472"/>
      <c r="AE447" s="472"/>
      <c r="AF447" s="472"/>
    </row>
    <row r="448" spans="1:39" s="16" customFormat="1" ht="34.5" customHeight="1" x14ac:dyDescent="0.2">
      <c r="A448" s="1071" t="str">
        <f>'[1]3.LRA'!C121</f>
        <v>Belanja Peralatan dan Mesin</v>
      </c>
      <c r="B448" s="1063"/>
      <c r="C448" s="1063"/>
      <c r="D448" s="1063"/>
      <c r="E448" s="832">
        <f>'[1]3.LRA'!D72</f>
        <v>394600000</v>
      </c>
      <c r="F448" s="1072"/>
      <c r="G448" s="1072"/>
      <c r="H448" s="1072"/>
      <c r="I448" s="1073"/>
      <c r="J448" s="832">
        <f>'[1]3.LRA'!E121</f>
        <v>362499500</v>
      </c>
      <c r="K448" s="1072"/>
      <c r="L448" s="1072"/>
      <c r="M448" s="1072"/>
      <c r="N448" s="1073"/>
      <c r="O448" s="832">
        <f>'[1]3.LRA'!F121</f>
        <v>12870000</v>
      </c>
      <c r="P448" s="1072"/>
      <c r="Q448" s="1072"/>
      <c r="R448" s="1072"/>
      <c r="S448" s="1073"/>
      <c r="T448" s="1028">
        <f t="shared" ref="T448:T453" si="16">(J448-O448)/O448*100</f>
        <v>2716.6239316239316</v>
      </c>
      <c r="U448" s="1029"/>
      <c r="V448" s="810">
        <f t="shared" si="13"/>
        <v>91.865053218449063</v>
      </c>
      <c r="W448" s="901"/>
      <c r="X448" s="901"/>
      <c r="Y448" s="471">
        <f t="shared" si="14"/>
        <v>32100500</v>
      </c>
      <c r="Z448" s="472"/>
      <c r="AA448" s="472"/>
      <c r="AB448" s="472"/>
      <c r="AC448" s="471">
        <f t="shared" si="15"/>
        <v>349629500</v>
      </c>
      <c r="AD448" s="472"/>
      <c r="AE448" s="472"/>
      <c r="AF448" s="472"/>
    </row>
    <row r="449" spans="1:38" s="16" customFormat="1" ht="33.75" customHeight="1" x14ac:dyDescent="0.2">
      <c r="A449" s="1071" t="str">
        <f>'[1]3.LRA'!C122</f>
        <v xml:space="preserve"> Belanja Gedung dan Bangunan</v>
      </c>
      <c r="B449" s="1063"/>
      <c r="C449" s="1063"/>
      <c r="D449" s="1063"/>
      <c r="E449" s="832">
        <f>'[1]3.LRA'!D82</f>
        <v>12433536000</v>
      </c>
      <c r="F449" s="1072"/>
      <c r="G449" s="1072"/>
      <c r="H449" s="1072"/>
      <c r="I449" s="1073"/>
      <c r="J449" s="832">
        <f>'[1]3.LRA'!E122</f>
        <v>12367266028</v>
      </c>
      <c r="K449" s="1072"/>
      <c r="L449" s="1072"/>
      <c r="M449" s="1072"/>
      <c r="N449" s="1073"/>
      <c r="O449" s="832">
        <f>'[1]3.LRA'!F122</f>
        <v>2182568000</v>
      </c>
      <c r="P449" s="1072"/>
      <c r="Q449" s="1072"/>
      <c r="R449" s="1072"/>
      <c r="S449" s="1073"/>
      <c r="T449" s="1028">
        <v>100</v>
      </c>
      <c r="U449" s="1029"/>
      <c r="V449" s="810">
        <f t="shared" si="13"/>
        <v>99.467006232177241</v>
      </c>
      <c r="W449" s="901"/>
      <c r="X449" s="901"/>
      <c r="Y449" s="471">
        <f t="shared" si="14"/>
        <v>66269972</v>
      </c>
      <c r="Z449" s="472"/>
      <c r="AA449" s="472"/>
      <c r="AB449" s="472"/>
      <c r="AC449" s="471">
        <f t="shared" si="15"/>
        <v>10184698028</v>
      </c>
      <c r="AD449" s="472"/>
      <c r="AE449" s="472"/>
      <c r="AF449" s="472"/>
    </row>
    <row r="450" spans="1:38" s="16" customFormat="1" ht="36.75" customHeight="1" x14ac:dyDescent="0.2">
      <c r="A450" s="1071" t="str">
        <f>'[1]3.LRA'!C123</f>
        <v xml:space="preserve">Belanja Jalan, Irigasi dan Jaringan </v>
      </c>
      <c r="B450" s="1063"/>
      <c r="C450" s="1063"/>
      <c r="D450" s="1063"/>
      <c r="E450" s="832">
        <f>'[1]3.LRA'!D87</f>
        <v>0</v>
      </c>
      <c r="F450" s="1072"/>
      <c r="G450" s="1072"/>
      <c r="H450" s="1072"/>
      <c r="I450" s="1073"/>
      <c r="J450" s="832">
        <f>'[1]3.LRA'!E123</f>
        <v>0</v>
      </c>
      <c r="K450" s="1072"/>
      <c r="L450" s="1072"/>
      <c r="M450" s="1072"/>
      <c r="N450" s="1073"/>
      <c r="O450" s="832">
        <f>'[1]3.LRA'!F123</f>
        <v>293128000</v>
      </c>
      <c r="P450" s="1072"/>
      <c r="Q450" s="1072"/>
      <c r="R450" s="1072"/>
      <c r="S450" s="1073"/>
      <c r="T450" s="1028">
        <f t="shared" si="16"/>
        <v>-100</v>
      </c>
      <c r="U450" s="1029"/>
      <c r="V450" s="810" t="e">
        <f t="shared" si="13"/>
        <v>#DIV/0!</v>
      </c>
      <c r="W450" s="901"/>
      <c r="X450" s="901"/>
      <c r="Y450" s="471">
        <f t="shared" si="14"/>
        <v>0</v>
      </c>
      <c r="Z450" s="472"/>
      <c r="AA450" s="472"/>
      <c r="AB450" s="472"/>
      <c r="AC450" s="471">
        <f t="shared" si="15"/>
        <v>-293128000</v>
      </c>
      <c r="AD450" s="472"/>
      <c r="AE450" s="472"/>
      <c r="AF450" s="472"/>
    </row>
    <row r="451" spans="1:38" s="16" customFormat="1" ht="16.5" customHeight="1" x14ac:dyDescent="0.2">
      <c r="A451" s="1071" t="str">
        <f>'[1]3.LRA'!C124</f>
        <v xml:space="preserve"> Belanja Aset Tetap Lainnya</v>
      </c>
      <c r="B451" s="1063"/>
      <c r="C451" s="1063"/>
      <c r="D451" s="1063"/>
      <c r="E451" s="832">
        <f>'[1]3.LRA'!D91</f>
        <v>0</v>
      </c>
      <c r="F451" s="1072"/>
      <c r="G451" s="1072"/>
      <c r="H451" s="1072"/>
      <c r="I451" s="1073"/>
      <c r="J451" s="832">
        <f>'[1]3.LRA'!E124</f>
        <v>0</v>
      </c>
      <c r="K451" s="1072"/>
      <c r="L451" s="1072"/>
      <c r="M451" s="1072"/>
      <c r="N451" s="1073"/>
      <c r="O451" s="832">
        <f>'[1]3.LRA'!F124</f>
        <v>0</v>
      </c>
      <c r="P451" s="1072"/>
      <c r="Q451" s="1072"/>
      <c r="R451" s="1072"/>
      <c r="S451" s="1073"/>
      <c r="T451" s="1028">
        <v>0</v>
      </c>
      <c r="U451" s="1029"/>
      <c r="V451" s="810" t="e">
        <f t="shared" si="13"/>
        <v>#DIV/0!</v>
      </c>
      <c r="W451" s="901"/>
      <c r="X451" s="901"/>
      <c r="Y451" s="471">
        <f t="shared" si="14"/>
        <v>0</v>
      </c>
      <c r="Z451" s="472"/>
      <c r="AA451" s="472"/>
      <c r="AB451" s="472"/>
      <c r="AC451" s="471">
        <f t="shared" si="15"/>
        <v>0</v>
      </c>
      <c r="AD451" s="472"/>
      <c r="AE451" s="472"/>
      <c r="AF451" s="472"/>
    </row>
    <row r="452" spans="1:38" s="16" customFormat="1" ht="16.5" customHeight="1" x14ac:dyDescent="0.2">
      <c r="A452" s="1071" t="str">
        <f>'[1]3.LRA'!C95</f>
        <v>Belanja Aset Lainnya</v>
      </c>
      <c r="B452" s="1063"/>
      <c r="C452" s="1063"/>
      <c r="D452" s="1063"/>
      <c r="E452" s="832">
        <f>'[1]3.LRA'!D95</f>
        <v>70000000</v>
      </c>
      <c r="F452" s="1072"/>
      <c r="G452" s="1072"/>
      <c r="H452" s="1072"/>
      <c r="I452" s="1073"/>
      <c r="J452" s="832">
        <f>'[1]3.LRA'!E95</f>
        <v>67045000000</v>
      </c>
      <c r="K452" s="1072"/>
      <c r="L452" s="1072"/>
      <c r="M452" s="1072"/>
      <c r="N452" s="1073"/>
      <c r="O452" s="832">
        <f>'[1]3.LRA'!I95</f>
        <v>0</v>
      </c>
      <c r="P452" s="1072"/>
      <c r="Q452" s="1072"/>
      <c r="R452" s="1072"/>
      <c r="S452" s="1073"/>
      <c r="T452" s="1028">
        <v>0</v>
      </c>
      <c r="U452" s="1029"/>
      <c r="V452" s="810">
        <f t="shared" si="13"/>
        <v>95778.571428571435</v>
      </c>
      <c r="W452" s="901"/>
      <c r="X452" s="901"/>
      <c r="Y452" s="471">
        <f t="shared" si="14"/>
        <v>-66975000000</v>
      </c>
      <c r="Z452" s="472"/>
      <c r="AA452" s="472"/>
      <c r="AB452" s="472"/>
      <c r="AC452" s="471">
        <f t="shared" si="15"/>
        <v>67045000000</v>
      </c>
      <c r="AD452" s="472"/>
      <c r="AE452" s="472"/>
      <c r="AF452" s="472"/>
      <c r="AG452" s="115"/>
      <c r="AH452" s="115"/>
      <c r="AI452" s="116"/>
      <c r="AJ452" s="24"/>
      <c r="AK452" s="24"/>
      <c r="AL452" s="24"/>
    </row>
    <row r="453" spans="1:38" s="16" customFormat="1" ht="17.25" customHeight="1" x14ac:dyDescent="0.2">
      <c r="A453" s="497" t="s">
        <v>205</v>
      </c>
      <c r="B453" s="1055"/>
      <c r="C453" s="1055"/>
      <c r="D453" s="1056"/>
      <c r="E453" s="1068">
        <f>SUM(E447:I452)</f>
        <v>15898136000</v>
      </c>
      <c r="F453" s="1069"/>
      <c r="G453" s="1069"/>
      <c r="H453" s="1069"/>
      <c r="I453" s="1070"/>
      <c r="J453" s="823">
        <f>SUM(J447:N452)</f>
        <v>82667202576</v>
      </c>
      <c r="K453" s="1046"/>
      <c r="L453" s="1046"/>
      <c r="M453" s="1046"/>
      <c r="N453" s="1047"/>
      <c r="O453" s="823">
        <f>SUM(O447:S452)</f>
        <v>2488566000</v>
      </c>
      <c r="P453" s="1046"/>
      <c r="Q453" s="1046"/>
      <c r="R453" s="1046"/>
      <c r="S453" s="1047"/>
      <c r="T453" s="1028">
        <f t="shared" si="16"/>
        <v>3221.8810582480032</v>
      </c>
      <c r="U453" s="1029"/>
      <c r="V453" s="810">
        <f t="shared" si="13"/>
        <v>519.98047177354624</v>
      </c>
      <c r="W453" s="901"/>
      <c r="X453" s="901"/>
      <c r="Y453" s="471">
        <f t="shared" si="14"/>
        <v>-66769066576</v>
      </c>
      <c r="Z453" s="472"/>
      <c r="AA453" s="472"/>
      <c r="AB453" s="472"/>
      <c r="AC453" s="471">
        <f t="shared" si="15"/>
        <v>80178636576</v>
      </c>
      <c r="AD453" s="472"/>
      <c r="AE453" s="472"/>
      <c r="AF453" s="472"/>
      <c r="AG453" s="115"/>
      <c r="AH453" s="115"/>
      <c r="AI453" s="116"/>
      <c r="AJ453" s="24"/>
      <c r="AK453" s="24"/>
      <c r="AL453" s="24"/>
    </row>
    <row r="454" spans="1:38" s="16" customFormat="1" ht="14.25" customHeight="1" x14ac:dyDescent="0.2">
      <c r="A454" s="14"/>
      <c r="B454" s="23"/>
      <c r="C454" s="23"/>
      <c r="D454" s="76"/>
      <c r="E454" s="77"/>
      <c r="F454" s="77"/>
      <c r="G454" s="77"/>
      <c r="H454" s="77"/>
      <c r="I454" s="77"/>
      <c r="J454" s="77"/>
      <c r="K454" s="77"/>
      <c r="L454" s="77"/>
      <c r="M454" s="77"/>
      <c r="N454" s="77"/>
      <c r="O454" s="77"/>
      <c r="P454" s="77"/>
      <c r="Q454" s="77"/>
      <c r="R454" s="77"/>
      <c r="S454" s="77"/>
      <c r="T454" s="37"/>
      <c r="U454" s="37"/>
      <c r="V454" s="23"/>
    </row>
    <row r="455" spans="1:38" s="16" customFormat="1" ht="22.5" customHeight="1" x14ac:dyDescent="0.2">
      <c r="A455" s="14"/>
      <c r="B455" s="23"/>
      <c r="D455" s="7" t="s">
        <v>47</v>
      </c>
      <c r="E455" s="7" t="s">
        <v>268</v>
      </c>
      <c r="F455" s="7"/>
      <c r="G455" s="7"/>
      <c r="H455" s="7"/>
      <c r="I455" s="7"/>
      <c r="J455" s="23"/>
      <c r="K455" s="23"/>
      <c r="L455" s="29"/>
      <c r="M455" s="29"/>
      <c r="N455" s="29"/>
      <c r="O455" s="29"/>
      <c r="P455" s="29"/>
      <c r="Q455" s="29"/>
      <c r="R455" s="29"/>
      <c r="S455" s="29"/>
      <c r="T455" s="20"/>
      <c r="U455" s="20"/>
      <c r="V455" s="23"/>
    </row>
    <row r="456" spans="1:38" s="16" customFormat="1" ht="80.25" customHeight="1" x14ac:dyDescent="0.2">
      <c r="A456" s="14"/>
      <c r="E456" s="407" t="str">
        <f>"Belanja Modal Tanah TA "&amp;'[1]2.ISIAN DATA SKPD'!D11&amp;"  dapat terealisasi sebesar Rp. 0 atau mencapai 0% dari anggaran yang ditetapkan sebesar Rp. 0, kurang dari anggaran sebesar Rp. 0. Bila dibandingkan dengan TA "&amp;'[1]2.ISIAN DATA SKPD'!D12&amp;" tidak  mengalami kenaikan/ penurunan sebesar Rp. "&amp;FIXED(AC466)&amp;" atau 0% ."</f>
        <v>Belanja Modal Tanah TA 2018  dapat terealisasi sebesar Rp. 0 atau mencapai 0% dari anggaran yang ditetapkan sebesar Rp. 0, kurang dari anggaran sebesar Rp. 0. Bila dibandingkan dengan TA 2017 tidak  mengalami kenaikan/ penurunan sebesar Rp. 2.892.437.048,00 atau 0% .</v>
      </c>
      <c r="F456" s="407"/>
      <c r="G456" s="407"/>
      <c r="H456" s="407"/>
      <c r="I456" s="407"/>
      <c r="J456" s="407"/>
      <c r="K456" s="407"/>
      <c r="L456" s="407"/>
      <c r="M456" s="407"/>
      <c r="N456" s="407"/>
      <c r="O456" s="407"/>
      <c r="P456" s="407"/>
      <c r="Q456" s="407"/>
      <c r="R456" s="407"/>
      <c r="S456" s="407"/>
      <c r="T456" s="407"/>
      <c r="U456" s="407"/>
      <c r="V456" s="23"/>
    </row>
    <row r="457" spans="1:38" s="16" customFormat="1" ht="18" customHeight="1" x14ac:dyDescent="0.2">
      <c r="A457" s="14"/>
      <c r="E457" s="408" t="s">
        <v>269</v>
      </c>
      <c r="F457" s="408"/>
      <c r="G457" s="408"/>
      <c r="H457" s="408"/>
      <c r="I457" s="408"/>
      <c r="J457" s="408"/>
      <c r="K457" s="408"/>
      <c r="L457" s="408"/>
      <c r="M457" s="408"/>
      <c r="N457" s="408"/>
      <c r="O457" s="408"/>
      <c r="P457" s="408"/>
      <c r="Q457" s="408"/>
      <c r="R457" s="408"/>
      <c r="S457" s="408"/>
      <c r="T457" s="408"/>
      <c r="U457" s="408"/>
      <c r="V457" s="23"/>
    </row>
    <row r="458" spans="1:38" s="16" customFormat="1" ht="18" customHeight="1" x14ac:dyDescent="0.2">
      <c r="A458" s="14"/>
      <c r="E458" s="37"/>
      <c r="F458" s="37"/>
      <c r="G458" s="37"/>
      <c r="H458" s="37"/>
      <c r="I458" s="37"/>
      <c r="J458" s="37"/>
      <c r="K458" s="37"/>
      <c r="L458" s="37"/>
      <c r="M458" s="37"/>
      <c r="N458" s="37"/>
      <c r="O458" s="37"/>
      <c r="P458" s="37"/>
      <c r="Q458" s="37"/>
      <c r="R458" s="37"/>
      <c r="S458" s="37"/>
      <c r="T458" s="37"/>
      <c r="U458" s="37"/>
      <c r="V458" s="23"/>
    </row>
    <row r="459" spans="1:38" s="16" customFormat="1" ht="18" customHeight="1" x14ac:dyDescent="0.2">
      <c r="A459" s="14"/>
      <c r="E459" s="37"/>
      <c r="F459" s="37"/>
      <c r="G459" s="37"/>
      <c r="H459" s="37"/>
      <c r="I459" s="37"/>
      <c r="J459" s="37"/>
      <c r="K459" s="37"/>
      <c r="L459" s="37"/>
      <c r="M459" s="37"/>
      <c r="N459" s="37"/>
      <c r="O459" s="37"/>
      <c r="P459" s="37"/>
      <c r="Q459" s="37"/>
      <c r="R459" s="37"/>
      <c r="S459" s="37"/>
      <c r="T459" s="37"/>
      <c r="U459" s="37"/>
      <c r="V459" s="23"/>
    </row>
    <row r="460" spans="1:38" s="16" customFormat="1" ht="18" customHeight="1" x14ac:dyDescent="0.2">
      <c r="A460" s="14"/>
      <c r="E460" s="37"/>
      <c r="F460" s="37"/>
      <c r="G460" s="37"/>
      <c r="H460" s="37"/>
      <c r="I460" s="37"/>
      <c r="J460" s="37"/>
      <c r="K460" s="37"/>
      <c r="L460" s="37"/>
      <c r="M460" s="37"/>
      <c r="N460" s="37"/>
      <c r="O460" s="37"/>
      <c r="P460" s="37"/>
      <c r="Q460" s="37"/>
      <c r="R460" s="37"/>
      <c r="S460" s="37"/>
      <c r="T460" s="37"/>
      <c r="U460" s="37"/>
      <c r="V460" s="23"/>
    </row>
    <row r="461" spans="1:38" s="16" customFormat="1" ht="18" customHeight="1" x14ac:dyDescent="0.2">
      <c r="A461" s="14"/>
      <c r="C461" s="117"/>
      <c r="D461" s="117"/>
      <c r="E461" s="117"/>
      <c r="F461" s="117"/>
      <c r="G461" s="117"/>
      <c r="H461" s="117"/>
      <c r="I461" s="117"/>
      <c r="J461" s="117"/>
      <c r="K461" s="117"/>
      <c r="L461" s="117"/>
      <c r="M461" s="117"/>
      <c r="N461" s="117"/>
      <c r="O461" s="117"/>
      <c r="P461" s="117"/>
      <c r="Q461" s="117"/>
      <c r="R461" s="117"/>
      <c r="S461" s="117"/>
      <c r="T461" s="117"/>
      <c r="U461" s="117"/>
      <c r="V461" s="23"/>
    </row>
    <row r="462" spans="1:38" s="16" customFormat="1" ht="21" customHeight="1" x14ac:dyDescent="0.2">
      <c r="A462" s="14"/>
      <c r="B462" s="452" t="str">
        <f>"Perbandingan Realisasi Belanja Modal Tanah TA "&amp;'[1]2.ISIAN DATA SKPD'!D11&amp;" dan "&amp;'[1]2.ISIAN DATA SKPD'!D12&amp;""</f>
        <v>Perbandingan Realisasi Belanja Modal Tanah TA 2018 dan 2017</v>
      </c>
      <c r="C462" s="452"/>
      <c r="D462" s="452"/>
      <c r="E462" s="452"/>
      <c r="F462" s="452"/>
      <c r="G462" s="452"/>
      <c r="H462" s="452"/>
      <c r="I462" s="452"/>
      <c r="J462" s="452"/>
      <c r="K462" s="452"/>
      <c r="L462" s="452"/>
      <c r="M462" s="452"/>
      <c r="N462" s="452"/>
      <c r="O462" s="452"/>
      <c r="P462" s="452"/>
      <c r="Q462" s="452"/>
      <c r="R462" s="452"/>
      <c r="S462" s="452"/>
      <c r="T462" s="452"/>
      <c r="U462" s="452"/>
      <c r="V462" s="23"/>
    </row>
    <row r="463" spans="1:38" s="16" customFormat="1" ht="24.75" customHeight="1" x14ac:dyDescent="0.2">
      <c r="A463" s="1032" t="s">
        <v>268</v>
      </c>
      <c r="B463" s="1032"/>
      <c r="C463" s="1032"/>
      <c r="D463" s="1032"/>
      <c r="E463" s="1032" t="s">
        <v>192</v>
      </c>
      <c r="F463" s="1032"/>
      <c r="G463" s="1032"/>
      <c r="H463" s="1032"/>
      <c r="I463" s="1032"/>
      <c r="J463" s="1020" t="str">
        <f>J446</f>
        <v>Realisasi                      TA 2018</v>
      </c>
      <c r="K463" s="1021"/>
      <c r="L463" s="1021"/>
      <c r="M463" s="1021"/>
      <c r="N463" s="1022"/>
      <c r="O463" s="1020" t="str">
        <f>O446</f>
        <v>Realisasi                   TA 2017</v>
      </c>
      <c r="P463" s="1021"/>
      <c r="Q463" s="1021"/>
      <c r="R463" s="1021"/>
      <c r="S463" s="1022"/>
      <c r="T463" s="1023" t="s">
        <v>247</v>
      </c>
      <c r="U463" s="1024"/>
      <c r="V463" s="810" t="s">
        <v>196</v>
      </c>
      <c r="W463" s="901"/>
      <c r="X463" s="901"/>
      <c r="Y463" s="1067" t="s">
        <v>195</v>
      </c>
      <c r="Z463" s="1063"/>
      <c r="AA463" s="1063"/>
      <c r="AB463" s="1063" t="s">
        <v>196</v>
      </c>
      <c r="AC463" s="1067" t="s">
        <v>197</v>
      </c>
      <c r="AD463" s="1063"/>
      <c r="AE463" s="1063"/>
      <c r="AF463" s="1063"/>
    </row>
    <row r="464" spans="1:38" s="16" customFormat="1" ht="27.75" customHeight="1" x14ac:dyDescent="0.2">
      <c r="A464" s="1033" t="str">
        <f>'[1]3.LRA'!C70</f>
        <v>Belanja Modal Tanah Bangunan Gedung</v>
      </c>
      <c r="B464" s="1033"/>
      <c r="C464" s="1033"/>
      <c r="D464" s="1033"/>
      <c r="E464" s="1034">
        <f>'[1]3.LRA'!D70</f>
        <v>3000000000</v>
      </c>
      <c r="F464" s="1035"/>
      <c r="G464" s="1035"/>
      <c r="H464" s="1035"/>
      <c r="I464" s="1035"/>
      <c r="J464" s="1034">
        <f>'[1]3.LRA'!E70</f>
        <v>2892437048</v>
      </c>
      <c r="K464" s="1035"/>
      <c r="L464" s="1035"/>
      <c r="M464" s="1035"/>
      <c r="N464" s="1035"/>
      <c r="O464" s="1064">
        <v>0</v>
      </c>
      <c r="P464" s="1065"/>
      <c r="Q464" s="1065"/>
      <c r="R464" s="1065"/>
      <c r="S464" s="1066"/>
      <c r="T464" s="1028">
        <v>0</v>
      </c>
      <c r="U464" s="1029"/>
      <c r="V464" s="810">
        <f>J464/E464*100</f>
        <v>96.414568266666663</v>
      </c>
      <c r="W464" s="901"/>
      <c r="X464" s="901"/>
      <c r="Y464" s="471">
        <f>E464-J464</f>
        <v>107562952</v>
      </c>
      <c r="Z464" s="472"/>
      <c r="AA464" s="472"/>
      <c r="AB464" s="472"/>
      <c r="AC464" s="471">
        <f>J464-O464</f>
        <v>2892437048</v>
      </c>
      <c r="AD464" s="472"/>
      <c r="AE464" s="472"/>
      <c r="AF464" s="472"/>
    </row>
    <row r="465" spans="1:38" s="16" customFormat="1" ht="34.5" customHeight="1" x14ac:dyDescent="0.2">
      <c r="A465" s="1033" t="str">
        <f>'[1]3.LRA'!C71</f>
        <v>Belanja Modal Tanah Bangunan Bukan Gedung</v>
      </c>
      <c r="B465" s="1063"/>
      <c r="C465" s="1063"/>
      <c r="D465" s="1063"/>
      <c r="E465" s="1034">
        <f>'[1]3.LRA'!D71</f>
        <v>0</v>
      </c>
      <c r="F465" s="1035"/>
      <c r="G465" s="1035"/>
      <c r="H465" s="1035"/>
      <c r="I465" s="1035"/>
      <c r="J465" s="1034">
        <f>'[1]3.LRA'!E71</f>
        <v>0</v>
      </c>
      <c r="K465" s="1035"/>
      <c r="L465" s="1035"/>
      <c r="M465" s="1035"/>
      <c r="N465" s="1035"/>
      <c r="O465" s="1064">
        <f>'[1]3.LRA'!I71</f>
        <v>0</v>
      </c>
      <c r="P465" s="1065"/>
      <c r="Q465" s="1065"/>
      <c r="R465" s="1065"/>
      <c r="S465" s="1066"/>
      <c r="T465" s="1028">
        <v>0</v>
      </c>
      <c r="U465" s="1029"/>
      <c r="V465" s="810" t="e">
        <f>J465/E465*100</f>
        <v>#DIV/0!</v>
      </c>
      <c r="W465" s="901"/>
      <c r="X465" s="901"/>
      <c r="Y465" s="471">
        <f>E465-J465</f>
        <v>0</v>
      </c>
      <c r="Z465" s="472"/>
      <c r="AA465" s="472"/>
      <c r="AB465" s="472"/>
      <c r="AC465" s="471">
        <f>J465-O465</f>
        <v>0</v>
      </c>
      <c r="AD465" s="472"/>
      <c r="AE465" s="472"/>
      <c r="AF465" s="472"/>
    </row>
    <row r="466" spans="1:38" s="16" customFormat="1" ht="25.5" customHeight="1" x14ac:dyDescent="0.2">
      <c r="A466" s="1058" t="s">
        <v>205</v>
      </c>
      <c r="B466" s="1058"/>
      <c r="C466" s="1058"/>
      <c r="D466" s="1058"/>
      <c r="E466" s="823">
        <f>SUM(E464:I465)</f>
        <v>3000000000</v>
      </c>
      <c r="F466" s="1046"/>
      <c r="G466" s="1046"/>
      <c r="H466" s="1046"/>
      <c r="I466" s="1047"/>
      <c r="J466" s="823">
        <f>SUM(J464:N465)</f>
        <v>2892437048</v>
      </c>
      <c r="K466" s="1046"/>
      <c r="L466" s="1046"/>
      <c r="M466" s="1046"/>
      <c r="N466" s="1047"/>
      <c r="O466" s="823">
        <f>SUM(O464:S465)</f>
        <v>0</v>
      </c>
      <c r="P466" s="1046"/>
      <c r="Q466" s="1046"/>
      <c r="R466" s="1046"/>
      <c r="S466" s="1047"/>
      <c r="T466" s="1028">
        <v>0</v>
      </c>
      <c r="U466" s="1029"/>
      <c r="V466" s="810">
        <f>J466/E466*100</f>
        <v>96.414568266666663</v>
      </c>
      <c r="W466" s="901"/>
      <c r="X466" s="901"/>
      <c r="Y466" s="471">
        <f>E466-J466</f>
        <v>107562952</v>
      </c>
      <c r="Z466" s="472"/>
      <c r="AA466" s="472"/>
      <c r="AB466" s="472"/>
      <c r="AC466" s="471">
        <f>J466-O466</f>
        <v>2892437048</v>
      </c>
      <c r="AD466" s="472"/>
      <c r="AE466" s="472"/>
      <c r="AF466" s="472"/>
    </row>
    <row r="467" spans="1:38" s="16" customFormat="1" ht="12.75" customHeight="1" x14ac:dyDescent="0.2">
      <c r="A467" s="14"/>
      <c r="B467" s="23"/>
      <c r="C467" s="23"/>
      <c r="D467" s="76"/>
      <c r="E467" s="77"/>
      <c r="F467" s="77"/>
      <c r="G467" s="77"/>
      <c r="H467" s="77"/>
      <c r="I467" s="118"/>
      <c r="J467" s="118"/>
      <c r="K467" s="118"/>
      <c r="L467" s="118"/>
      <c r="M467" s="118"/>
      <c r="N467" s="118"/>
      <c r="O467" s="118"/>
      <c r="P467" s="118"/>
      <c r="Q467" s="118"/>
      <c r="R467" s="118"/>
      <c r="S467" s="118"/>
      <c r="T467" s="38"/>
      <c r="U467" s="38"/>
      <c r="V467" s="23"/>
    </row>
    <row r="468" spans="1:38" s="16" customFormat="1" ht="18.75" customHeight="1" x14ac:dyDescent="0.2">
      <c r="A468" s="14"/>
      <c r="B468" s="23"/>
      <c r="C468" s="23"/>
      <c r="D468" s="119"/>
      <c r="E468" s="120" t="s">
        <v>160</v>
      </c>
      <c r="F468" s="1061" t="s">
        <v>270</v>
      </c>
      <c r="G468" s="1061"/>
      <c r="H468" s="1061"/>
      <c r="I468" s="1061"/>
      <c r="J468" s="1061"/>
      <c r="K468" s="1061"/>
      <c r="L468" s="1061"/>
      <c r="M468" s="1061"/>
      <c r="N468" s="1061"/>
      <c r="O468" s="1061"/>
      <c r="P468" s="1061"/>
      <c r="Q468" s="1061"/>
      <c r="R468" s="1061"/>
      <c r="S468" s="1061"/>
      <c r="T468" s="1061"/>
      <c r="U468" s="1061"/>
      <c r="V468" s="23"/>
    </row>
    <row r="469" spans="1:38" s="16" customFormat="1" ht="18.75" customHeight="1" x14ac:dyDescent="0.2">
      <c r="A469" s="14"/>
      <c r="B469" s="23"/>
      <c r="C469" s="23"/>
      <c r="D469" s="119"/>
      <c r="E469" s="120"/>
      <c r="F469" s="1062" t="s">
        <v>271</v>
      </c>
      <c r="G469" s="1062"/>
      <c r="H469" s="1062"/>
      <c r="I469" s="1062"/>
      <c r="J469" s="1062"/>
      <c r="K469" s="1062"/>
      <c r="L469" s="1062"/>
      <c r="M469" s="1062"/>
      <c r="N469" s="1062"/>
      <c r="O469" s="1062"/>
      <c r="P469" s="1062"/>
      <c r="Q469" s="1062"/>
      <c r="R469" s="1062"/>
      <c r="S469" s="1062"/>
      <c r="T469" s="1062"/>
      <c r="U469" s="1062"/>
      <c r="V469" s="23"/>
    </row>
    <row r="470" spans="1:38" s="16" customFormat="1" ht="8.25" customHeight="1" x14ac:dyDescent="0.2">
      <c r="A470" s="14"/>
      <c r="B470" s="23"/>
      <c r="C470" s="23"/>
      <c r="D470" s="119"/>
      <c r="E470" s="120"/>
      <c r="F470" s="121"/>
      <c r="G470" s="121"/>
      <c r="H470" s="121"/>
      <c r="I470" s="121"/>
      <c r="J470" s="121"/>
      <c r="K470" s="121"/>
      <c r="L470" s="121"/>
      <c r="M470" s="121"/>
      <c r="N470" s="121"/>
      <c r="O470" s="121"/>
      <c r="P470" s="121"/>
      <c r="Q470" s="121"/>
      <c r="R470" s="121"/>
      <c r="S470" s="121"/>
      <c r="T470" s="121"/>
      <c r="U470" s="121"/>
      <c r="V470" s="23"/>
    </row>
    <row r="471" spans="1:38" s="16" customFormat="1" ht="18.75" customHeight="1" x14ac:dyDescent="0.2">
      <c r="A471" s="14"/>
      <c r="B471" s="23"/>
      <c r="C471" s="23"/>
      <c r="D471" s="119"/>
      <c r="E471" s="103" t="s">
        <v>153</v>
      </c>
      <c r="F471" s="402" t="s">
        <v>272</v>
      </c>
      <c r="G471" s="402"/>
      <c r="H471" s="402"/>
      <c r="I471" s="402"/>
      <c r="J471" s="402"/>
      <c r="K471" s="402"/>
      <c r="L471" s="402"/>
      <c r="M471" s="402"/>
      <c r="N471" s="402"/>
      <c r="O471" s="402"/>
      <c r="P471" s="402"/>
      <c r="Q471" s="402"/>
      <c r="R471" s="402"/>
      <c r="S471" s="402"/>
      <c r="T471" s="402"/>
      <c r="U471" s="402"/>
      <c r="V471" s="23"/>
    </row>
    <row r="472" spans="1:38" s="16" customFormat="1" ht="18.75" customHeight="1" x14ac:dyDescent="0.2">
      <c r="A472" s="14"/>
      <c r="B472" s="23"/>
      <c r="C472" s="23"/>
      <c r="D472" s="122"/>
      <c r="E472" s="103"/>
      <c r="F472" s="1062" t="s">
        <v>273</v>
      </c>
      <c r="G472" s="1062"/>
      <c r="H472" s="1062"/>
      <c r="I472" s="1062"/>
      <c r="J472" s="1062"/>
      <c r="K472" s="1062"/>
      <c r="L472" s="1062"/>
      <c r="M472" s="1062"/>
      <c r="N472" s="1062"/>
      <c r="O472" s="1062"/>
      <c r="P472" s="1062"/>
      <c r="Q472" s="1062"/>
      <c r="R472" s="1062"/>
      <c r="S472" s="1062"/>
      <c r="T472" s="1062"/>
      <c r="U472" s="1062"/>
      <c r="V472" s="23"/>
    </row>
    <row r="473" spans="1:38" s="16" customFormat="1" ht="7.5" customHeight="1" x14ac:dyDescent="0.2">
      <c r="A473" s="14"/>
      <c r="B473" s="23"/>
      <c r="C473" s="23"/>
      <c r="D473" s="76"/>
      <c r="E473" s="103"/>
      <c r="F473" s="123"/>
      <c r="G473" s="123"/>
      <c r="H473" s="123"/>
      <c r="I473" s="123"/>
      <c r="J473" s="123"/>
      <c r="K473" s="123"/>
      <c r="L473" s="123"/>
      <c r="M473" s="123"/>
      <c r="N473" s="123"/>
      <c r="O473" s="123"/>
      <c r="P473" s="123"/>
      <c r="Q473" s="123"/>
      <c r="R473" s="123"/>
      <c r="S473" s="123"/>
      <c r="T473" s="123"/>
      <c r="U473" s="123"/>
      <c r="V473" s="23"/>
    </row>
    <row r="474" spans="1:38" s="16" customFormat="1" ht="22.5" customHeight="1" x14ac:dyDescent="0.2">
      <c r="A474" s="14"/>
      <c r="B474" s="23"/>
      <c r="D474" s="54" t="s">
        <v>49</v>
      </c>
      <c r="E474" s="54" t="s">
        <v>274</v>
      </c>
      <c r="F474" s="54"/>
      <c r="G474" s="23"/>
      <c r="H474" s="23"/>
      <c r="I474" s="23"/>
      <c r="J474" s="23"/>
      <c r="K474" s="23"/>
      <c r="L474" s="29"/>
      <c r="M474" s="29"/>
      <c r="N474" s="29"/>
      <c r="O474" s="29"/>
      <c r="P474" s="29"/>
      <c r="Q474" s="29"/>
      <c r="R474" s="29"/>
      <c r="S474" s="29"/>
      <c r="T474" s="20"/>
      <c r="U474" s="20"/>
      <c r="V474" s="23"/>
    </row>
    <row r="475" spans="1:38" s="16" customFormat="1" ht="75" customHeight="1" x14ac:dyDescent="0.2">
      <c r="A475" s="14"/>
      <c r="E475" s="408" t="str">
        <f>"Realisasi Belanja Modal Peralatan dan Mesin TA "&amp;'[1]2.ISIAN DATA SKPD'!D11&amp;" sebesar Rp. "&amp;FIXED(J489)&amp;", atau mencapai sebesar "&amp;FIXED(V489)&amp;"% dari anggaran sebesar Rp. "&amp;FIXED(E489)&amp;".    Bila dibandingkan dengan realisasi TA "&amp;'[1]2.ISIAN DATA SKPD'!D12&amp;" sebesar "&amp;FIXED(O489)&amp;" naik sebesar Rp. "&amp;FIXED(AC489)&amp;" atau "&amp;FIXED(T489)&amp;"%."</f>
        <v>Realisasi Belanja Modal Peralatan dan Mesin TA 2018 sebesar Rp. 362.499.500,00, atau mencapai sebesar 91,87% dari anggaran sebesar Rp. 394.600.000,00.    Bila dibandingkan dengan realisasi TA 2017 sebesar 12.870.000,00 naik sebesar Rp. 349.629.500,00 atau 2.716,62%.</v>
      </c>
      <c r="F475" s="408"/>
      <c r="G475" s="408"/>
      <c r="H475" s="408"/>
      <c r="I475" s="408"/>
      <c r="J475" s="408"/>
      <c r="K475" s="408"/>
      <c r="L475" s="408"/>
      <c r="M475" s="408"/>
      <c r="N475" s="408"/>
      <c r="O475" s="408"/>
      <c r="P475" s="408"/>
      <c r="Q475" s="408"/>
      <c r="R475" s="408"/>
      <c r="S475" s="408"/>
      <c r="T475" s="408"/>
      <c r="U475" s="408"/>
      <c r="V475" s="408"/>
      <c r="W475" s="408"/>
      <c r="X475" s="408"/>
      <c r="Y475" s="408"/>
      <c r="Z475" s="408"/>
      <c r="AA475" s="408"/>
      <c r="AB475" s="408"/>
      <c r="AC475" s="408"/>
      <c r="AD475" s="408"/>
      <c r="AE475" s="408"/>
      <c r="AF475" s="408"/>
      <c r="AG475" s="408"/>
      <c r="AH475" s="408"/>
      <c r="AI475" s="408"/>
      <c r="AJ475" s="408"/>
      <c r="AK475" s="408"/>
      <c r="AL475" s="408"/>
    </row>
    <row r="476" spans="1:38" s="16" customFormat="1" ht="8.25" customHeight="1" x14ac:dyDescent="0.2">
      <c r="A476" s="14"/>
      <c r="C476" s="37"/>
      <c r="D476" s="37"/>
      <c r="E476" s="37"/>
      <c r="F476" s="37"/>
      <c r="G476" s="37"/>
      <c r="H476" s="37"/>
      <c r="I476" s="37"/>
      <c r="J476" s="37"/>
      <c r="K476" s="37"/>
      <c r="L476" s="37"/>
      <c r="M476" s="37"/>
      <c r="N476" s="37"/>
      <c r="O476" s="37"/>
      <c r="P476" s="37"/>
      <c r="Q476" s="37"/>
      <c r="R476" s="37"/>
      <c r="S476" s="37"/>
      <c r="T476" s="37"/>
      <c r="U476" s="37"/>
      <c r="V476" s="23"/>
    </row>
    <row r="477" spans="1:38" s="16" customFormat="1" ht="33.75" customHeight="1" x14ac:dyDescent="0.2">
      <c r="A477" s="14"/>
      <c r="B477" s="1031" t="str">
        <f>"Perbandingan Realisasi Belanja Modal Perlatan dan Mesin                                      TA "&amp;'[1]2.ISIAN DATA SKPD'!D11&amp;" dan "&amp;'[1]2.ISIAN DATA SKPD'!D12&amp;""</f>
        <v>Perbandingan Realisasi Belanja Modal Perlatan dan Mesin                                      TA 2018 dan 2017</v>
      </c>
      <c r="C477" s="1031"/>
      <c r="D477" s="1031"/>
      <c r="E477" s="1031"/>
      <c r="F477" s="1031"/>
      <c r="G477" s="1031"/>
      <c r="H477" s="1031"/>
      <c r="I477" s="1031"/>
      <c r="J477" s="1031"/>
      <c r="K477" s="1031"/>
      <c r="L477" s="1031"/>
      <c r="M477" s="1031"/>
      <c r="N477" s="1031"/>
      <c r="O477" s="1031"/>
      <c r="P477" s="1031"/>
      <c r="Q477" s="1031"/>
      <c r="R477" s="1031"/>
      <c r="S477" s="1031"/>
      <c r="T477" s="1031"/>
      <c r="U477" s="1031"/>
      <c r="V477" s="407"/>
      <c r="W477" s="407"/>
      <c r="X477" s="407"/>
      <c r="Y477" s="407"/>
      <c r="Z477" s="407"/>
      <c r="AA477" s="407"/>
      <c r="AB477" s="407"/>
      <c r="AC477" s="407"/>
      <c r="AD477" s="407"/>
      <c r="AE477" s="407"/>
      <c r="AF477" s="407"/>
      <c r="AG477" s="407"/>
      <c r="AH477" s="407"/>
      <c r="AI477" s="407"/>
      <c r="AJ477" s="407"/>
      <c r="AK477" s="407"/>
      <c r="AL477" s="407"/>
    </row>
    <row r="478" spans="1:38" s="16" customFormat="1" ht="32.25" customHeight="1" x14ac:dyDescent="0.2">
      <c r="A478" s="1032" t="s">
        <v>274</v>
      </c>
      <c r="B478" s="1032"/>
      <c r="C478" s="1032"/>
      <c r="D478" s="1032"/>
      <c r="E478" s="1032" t="s">
        <v>192</v>
      </c>
      <c r="F478" s="1032"/>
      <c r="G478" s="1032"/>
      <c r="H478" s="1032"/>
      <c r="I478" s="1032"/>
      <c r="J478" s="1020" t="str">
        <f>J463</f>
        <v>Realisasi                      TA 2018</v>
      </c>
      <c r="K478" s="1021"/>
      <c r="L478" s="1021"/>
      <c r="M478" s="1021"/>
      <c r="N478" s="1022"/>
      <c r="O478" s="1020" t="str">
        <f>O446</f>
        <v>Realisasi                   TA 2017</v>
      </c>
      <c r="P478" s="1021"/>
      <c r="Q478" s="1021"/>
      <c r="R478" s="1021"/>
      <c r="S478" s="1022"/>
      <c r="T478" s="1023" t="s">
        <v>247</v>
      </c>
      <c r="U478" s="1024"/>
      <c r="V478" s="780" t="s">
        <v>196</v>
      </c>
      <c r="W478" s="908"/>
      <c r="X478" s="908"/>
      <c r="Y478" s="892" t="s">
        <v>195</v>
      </c>
      <c r="Z478" s="472"/>
      <c r="AA478" s="472"/>
      <c r="AB478" s="472" t="s">
        <v>196</v>
      </c>
      <c r="AC478" s="892" t="s">
        <v>197</v>
      </c>
      <c r="AD478" s="472"/>
      <c r="AE478" s="472"/>
      <c r="AF478" s="472"/>
    </row>
    <row r="479" spans="1:38" s="16" customFormat="1" ht="20.25" customHeight="1" x14ac:dyDescent="0.2">
      <c r="A479" s="1060" t="str">
        <f>'[1]3.LRA'!C73</f>
        <v>Pengadaan Alat Bantu</v>
      </c>
      <c r="B479" s="1060"/>
      <c r="C479" s="1060"/>
      <c r="D479" s="1060"/>
      <c r="E479" s="1034">
        <f>'[1]3.LRA'!D73</f>
        <v>52100000</v>
      </c>
      <c r="F479" s="1035"/>
      <c r="G479" s="1035"/>
      <c r="H479" s="1035"/>
      <c r="I479" s="1035"/>
      <c r="J479" s="1034">
        <f>'[1]3.LRA'!E73</f>
        <v>50021000</v>
      </c>
      <c r="K479" s="1035"/>
      <c r="L479" s="1035"/>
      <c r="M479" s="1035"/>
      <c r="N479" s="1035"/>
      <c r="O479" s="1034">
        <f>'[1]3.LRA'!I73</f>
        <v>0</v>
      </c>
      <c r="P479" s="1035"/>
      <c r="Q479" s="1035"/>
      <c r="R479" s="1035"/>
      <c r="S479" s="1035"/>
      <c r="T479" s="1028">
        <v>0</v>
      </c>
      <c r="U479" s="1029"/>
      <c r="V479" s="810">
        <f t="shared" ref="V479:V489" si="17">J479/E479*100</f>
        <v>96.009596928982717</v>
      </c>
      <c r="W479" s="901"/>
      <c r="X479" s="901"/>
      <c r="Y479" s="471">
        <f>E479-J479</f>
        <v>2079000</v>
      </c>
      <c r="Z479" s="472"/>
      <c r="AA479" s="472"/>
      <c r="AB479" s="472"/>
      <c r="AC479" s="471">
        <f>J479-O479</f>
        <v>50021000</v>
      </c>
      <c r="AD479" s="472"/>
      <c r="AE479" s="472"/>
      <c r="AF479" s="472"/>
    </row>
    <row r="480" spans="1:38" s="16" customFormat="1" ht="18" customHeight="1" x14ac:dyDescent="0.2">
      <c r="A480" s="1060" t="str">
        <f>'[1]3.LRA'!C74</f>
        <v>Pengadaan Alat Angkutan</v>
      </c>
      <c r="B480" s="1060"/>
      <c r="C480" s="1060"/>
      <c r="D480" s="1060"/>
      <c r="E480" s="1034">
        <f>'[1]3.LRA'!D74</f>
        <v>23042500</v>
      </c>
      <c r="F480" s="1035"/>
      <c r="G480" s="1035"/>
      <c r="H480" s="1035"/>
      <c r="I480" s="1035"/>
      <c r="J480" s="1034">
        <f>'[1]3.LRA'!E74</f>
        <v>0</v>
      </c>
      <c r="K480" s="1035"/>
      <c r="L480" s="1035"/>
      <c r="M480" s="1035"/>
      <c r="N480" s="1035"/>
      <c r="O480" s="1034">
        <f>'[1]3.LRA'!I74</f>
        <v>0</v>
      </c>
      <c r="P480" s="1035"/>
      <c r="Q480" s="1035"/>
      <c r="R480" s="1035"/>
      <c r="S480" s="1035"/>
      <c r="T480" s="1028">
        <v>0</v>
      </c>
      <c r="U480" s="1029"/>
      <c r="V480" s="810">
        <f t="shared" si="17"/>
        <v>0</v>
      </c>
      <c r="W480" s="901"/>
      <c r="X480" s="901"/>
      <c r="Y480" s="471">
        <f>E480-J480</f>
        <v>23042500</v>
      </c>
      <c r="Z480" s="472"/>
      <c r="AA480" s="472"/>
      <c r="AB480" s="472"/>
      <c r="AC480" s="471">
        <f>J480-O480</f>
        <v>0</v>
      </c>
      <c r="AD480" s="472"/>
      <c r="AE480" s="472"/>
      <c r="AF480" s="472"/>
    </row>
    <row r="481" spans="1:32" s="16" customFormat="1" ht="17.25" customHeight="1" x14ac:dyDescent="0.2">
      <c r="A481" s="1060" t="str">
        <f>'[1]3.LRA'!C75</f>
        <v>Pengadaan Alat Kantor</v>
      </c>
      <c r="B481" s="1060"/>
      <c r="C481" s="1060"/>
      <c r="D481" s="1060"/>
      <c r="E481" s="1034">
        <f>'[1]3.LRA'!D75</f>
        <v>60000000</v>
      </c>
      <c r="F481" s="1035"/>
      <c r="G481" s="1035"/>
      <c r="H481" s="1035"/>
      <c r="I481" s="1035"/>
      <c r="J481" s="1034">
        <f>'[1]3.LRA'!E75</f>
        <v>58846000</v>
      </c>
      <c r="K481" s="1035"/>
      <c r="L481" s="1035"/>
      <c r="M481" s="1035"/>
      <c r="N481" s="1035"/>
      <c r="O481" s="1034">
        <f>'[1]3.LRA'!I75</f>
        <v>0</v>
      </c>
      <c r="P481" s="1035"/>
      <c r="Q481" s="1035"/>
      <c r="R481" s="1035"/>
      <c r="S481" s="1035"/>
      <c r="T481" s="1028">
        <v>0</v>
      </c>
      <c r="U481" s="1029"/>
      <c r="V481" s="810">
        <f t="shared" si="17"/>
        <v>98.076666666666668</v>
      </c>
      <c r="W481" s="901"/>
      <c r="X481" s="901"/>
      <c r="Y481" s="471">
        <f>E481-J481</f>
        <v>1154000</v>
      </c>
      <c r="Z481" s="472"/>
      <c r="AA481" s="472"/>
      <c r="AB481" s="472"/>
      <c r="AC481" s="471">
        <f>J481-O481</f>
        <v>58846000</v>
      </c>
      <c r="AD481" s="472"/>
      <c r="AE481" s="472"/>
      <c r="AF481" s="472"/>
    </row>
    <row r="482" spans="1:32" s="16" customFormat="1" ht="31.5" customHeight="1" x14ac:dyDescent="0.2">
      <c r="A482" s="1060" t="str">
        <f>'[1]3.LRA'!C76</f>
        <v>Pengadaan Alat Rumah Tangga</v>
      </c>
      <c r="B482" s="1049"/>
      <c r="C482" s="1049"/>
      <c r="D482" s="1049"/>
      <c r="E482" s="1034">
        <f>'[1]3.LRA'!D76</f>
        <v>33817500</v>
      </c>
      <c r="F482" s="1035"/>
      <c r="G482" s="1035"/>
      <c r="H482" s="1035"/>
      <c r="I482" s="1035"/>
      <c r="J482" s="1034">
        <f>'[1]3.LRA'!E76</f>
        <v>33377500</v>
      </c>
      <c r="K482" s="1035"/>
      <c r="L482" s="1035"/>
      <c r="M482" s="1035"/>
      <c r="N482" s="1035"/>
      <c r="O482" s="1034">
        <f>'[1]3.LRA'!I76</f>
        <v>12870000</v>
      </c>
      <c r="P482" s="1035"/>
      <c r="Q482" s="1035"/>
      <c r="R482" s="1035"/>
      <c r="S482" s="1035"/>
      <c r="T482" s="1028">
        <f>(J482-O482)/O482*100</f>
        <v>159.34343434343435</v>
      </c>
      <c r="U482" s="1029"/>
      <c r="V482" s="810">
        <f t="shared" si="17"/>
        <v>98.698898499297698</v>
      </c>
      <c r="W482" s="901"/>
      <c r="X482" s="901"/>
      <c r="Y482" s="471">
        <f t="shared" ref="Y482:Y489" si="18">E482-J482</f>
        <v>440000</v>
      </c>
      <c r="Z482" s="472"/>
      <c r="AA482" s="472"/>
      <c r="AB482" s="472"/>
      <c r="AC482" s="471">
        <f t="shared" ref="AC482:AC489" si="19">J482-O482</f>
        <v>20507500</v>
      </c>
      <c r="AD482" s="472"/>
      <c r="AE482" s="472"/>
      <c r="AF482" s="472"/>
    </row>
    <row r="483" spans="1:32" s="16" customFormat="1" ht="17.25" customHeight="1" x14ac:dyDescent="0.2">
      <c r="A483" s="1060" t="str">
        <f>'[1]3.LRA'!C77</f>
        <v>Pengadaan Komputer</v>
      </c>
      <c r="B483" s="1049"/>
      <c r="C483" s="1049"/>
      <c r="D483" s="1049"/>
      <c r="E483" s="1034">
        <f>'[1]3.LRA'!D77</f>
        <v>63190000</v>
      </c>
      <c r="F483" s="1035"/>
      <c r="G483" s="1035"/>
      <c r="H483" s="1035"/>
      <c r="I483" s="1035"/>
      <c r="J483" s="1034">
        <f>'[1]3.LRA'!E77</f>
        <v>60342000</v>
      </c>
      <c r="K483" s="1035"/>
      <c r="L483" s="1035"/>
      <c r="M483" s="1035"/>
      <c r="N483" s="1035"/>
      <c r="O483" s="1034">
        <f>'[1]3.LRA'!I77</f>
        <v>0</v>
      </c>
      <c r="P483" s="1035"/>
      <c r="Q483" s="1035"/>
      <c r="R483" s="1035"/>
      <c r="S483" s="1035"/>
      <c r="T483" s="1028">
        <v>0</v>
      </c>
      <c r="U483" s="1029"/>
      <c r="V483" s="810">
        <f t="shared" si="17"/>
        <v>95.492957746478865</v>
      </c>
      <c r="W483" s="901"/>
      <c r="X483" s="901"/>
      <c r="Y483" s="471">
        <f t="shared" si="18"/>
        <v>2848000</v>
      </c>
      <c r="Z483" s="472"/>
      <c r="AA483" s="472"/>
      <c r="AB483" s="472"/>
      <c r="AC483" s="471">
        <f t="shared" si="19"/>
        <v>60342000</v>
      </c>
      <c r="AD483" s="472"/>
      <c r="AE483" s="472"/>
      <c r="AF483" s="472"/>
    </row>
    <row r="484" spans="1:32" s="16" customFormat="1" ht="17.25" customHeight="1" x14ac:dyDescent="0.2">
      <c r="A484" s="1060" t="str">
        <f>'[1]3.LRA'!C78</f>
        <v>Pengadaan Alat Studio</v>
      </c>
      <c r="B484" s="1049"/>
      <c r="C484" s="1049"/>
      <c r="D484" s="1049"/>
      <c r="E484" s="1034">
        <f>'[1]3.LRA'!D78</f>
        <v>152050000</v>
      </c>
      <c r="F484" s="1035"/>
      <c r="G484" s="1035"/>
      <c r="H484" s="1035"/>
      <c r="I484" s="1035"/>
      <c r="J484" s="1034">
        <f>'[1]3.LRA'!E78</f>
        <v>151595000</v>
      </c>
      <c r="K484" s="1035"/>
      <c r="L484" s="1035"/>
      <c r="M484" s="1035"/>
      <c r="N484" s="1035"/>
      <c r="O484" s="1034">
        <f>'[1]3.LRA'!I78</f>
        <v>0</v>
      </c>
      <c r="P484" s="1035"/>
      <c r="Q484" s="1035"/>
      <c r="R484" s="1035"/>
      <c r="S484" s="1035"/>
      <c r="T484" s="1028">
        <v>0</v>
      </c>
      <c r="U484" s="1029"/>
      <c r="V484" s="810">
        <f t="shared" si="17"/>
        <v>99.700756330154547</v>
      </c>
      <c r="W484" s="901"/>
      <c r="X484" s="901"/>
      <c r="Y484" s="471">
        <f t="shared" si="18"/>
        <v>455000</v>
      </c>
      <c r="Z484" s="472"/>
      <c r="AA484" s="472"/>
      <c r="AB484" s="472"/>
      <c r="AC484" s="471">
        <f t="shared" si="19"/>
        <v>151595000</v>
      </c>
      <c r="AD484" s="472"/>
      <c r="AE484" s="472"/>
      <c r="AF484" s="472"/>
    </row>
    <row r="485" spans="1:32" s="16" customFormat="1" ht="30" customHeight="1" x14ac:dyDescent="0.2">
      <c r="A485" s="1060" t="str">
        <f>'[1]3.LRA'!C79</f>
        <v>Pengadaan Alat komunikasi</v>
      </c>
      <c r="B485" s="1049"/>
      <c r="C485" s="1049"/>
      <c r="D485" s="1049"/>
      <c r="E485" s="1034">
        <f>'[1]3.LRA'!D79</f>
        <v>10400000</v>
      </c>
      <c r="F485" s="1035"/>
      <c r="G485" s="1035"/>
      <c r="H485" s="1035"/>
      <c r="I485" s="1035"/>
      <c r="J485" s="1034">
        <f>'[1]3.LRA'!E79</f>
        <v>8318000</v>
      </c>
      <c r="K485" s="1035"/>
      <c r="L485" s="1035"/>
      <c r="M485" s="1035"/>
      <c r="N485" s="1035"/>
      <c r="O485" s="1034">
        <f>'[1]3.LRA'!I79</f>
        <v>0</v>
      </c>
      <c r="P485" s="1035"/>
      <c r="Q485" s="1035"/>
      <c r="R485" s="1035"/>
      <c r="S485" s="1035"/>
      <c r="T485" s="1028">
        <v>0</v>
      </c>
      <c r="U485" s="1029"/>
      <c r="V485" s="810">
        <f t="shared" si="17"/>
        <v>79.980769230769226</v>
      </c>
      <c r="W485" s="901"/>
      <c r="X485" s="901"/>
      <c r="Y485" s="471">
        <f t="shared" si="18"/>
        <v>2082000</v>
      </c>
      <c r="Z485" s="472"/>
      <c r="AA485" s="472"/>
      <c r="AB485" s="472"/>
      <c r="AC485" s="471">
        <f t="shared" si="19"/>
        <v>8318000</v>
      </c>
      <c r="AD485" s="472"/>
      <c r="AE485" s="472"/>
      <c r="AF485" s="472"/>
    </row>
    <row r="486" spans="1:32" s="16" customFormat="1" ht="30" customHeight="1" x14ac:dyDescent="0.2">
      <c r="A486" s="1060" t="str">
        <f>'[1]3.LRA'!C80</f>
        <v>Pengadaan alat Kedokteran</v>
      </c>
      <c r="B486" s="1049"/>
      <c r="C486" s="1049"/>
      <c r="D486" s="1049"/>
      <c r="E486" s="1034">
        <f>'[1]3.LRA'!D80</f>
        <v>0</v>
      </c>
      <c r="F486" s="1035"/>
      <c r="G486" s="1035"/>
      <c r="H486" s="1035"/>
      <c r="I486" s="1035"/>
      <c r="J486" s="1034">
        <f>'[1]3.LRA'!E80</f>
        <v>0</v>
      </c>
      <c r="K486" s="1035"/>
      <c r="L486" s="1035"/>
      <c r="M486" s="1035"/>
      <c r="N486" s="1035"/>
      <c r="O486" s="1034">
        <f>'[1]3.LRA'!I80</f>
        <v>0</v>
      </c>
      <c r="P486" s="1035"/>
      <c r="Q486" s="1035"/>
      <c r="R486" s="1035"/>
      <c r="S486" s="1035"/>
      <c r="T486" s="1028">
        <v>0</v>
      </c>
      <c r="U486" s="1029"/>
      <c r="V486" s="810" t="e">
        <f t="shared" si="17"/>
        <v>#DIV/0!</v>
      </c>
      <c r="W486" s="901"/>
      <c r="X486" s="901"/>
      <c r="Y486" s="471">
        <f t="shared" si="18"/>
        <v>0</v>
      </c>
      <c r="Z486" s="472"/>
      <c r="AA486" s="472"/>
      <c r="AB486" s="472"/>
      <c r="AC486" s="471">
        <f t="shared" si="19"/>
        <v>0</v>
      </c>
      <c r="AD486" s="472"/>
      <c r="AE486" s="472"/>
      <c r="AF486" s="472"/>
    </row>
    <row r="487" spans="1:32" s="16" customFormat="1" ht="17.25" customHeight="1" x14ac:dyDescent="0.2">
      <c r="A487" s="1060" t="str">
        <f>'[1]3.LRA'!C81</f>
        <v>Pengadaan alat Kesehatan</v>
      </c>
      <c r="B487" s="1049"/>
      <c r="C487" s="1049"/>
      <c r="D487" s="1049"/>
      <c r="E487" s="1034">
        <f>'[1]3.LRA'!D81</f>
        <v>0</v>
      </c>
      <c r="F487" s="1035"/>
      <c r="G487" s="1035"/>
      <c r="H487" s="1035"/>
      <c r="I487" s="1035"/>
      <c r="J487" s="1034">
        <f>'[1]3.LRA'!E81</f>
        <v>0</v>
      </c>
      <c r="K487" s="1035"/>
      <c r="L487" s="1035"/>
      <c r="M487" s="1035"/>
      <c r="N487" s="1035"/>
      <c r="O487" s="1034">
        <f>'[1]3.LRA'!I81</f>
        <v>0</v>
      </c>
      <c r="P487" s="1035"/>
      <c r="Q487" s="1035"/>
      <c r="R487" s="1035"/>
      <c r="S487" s="1035"/>
      <c r="T487" s="1028">
        <v>0</v>
      </c>
      <c r="U487" s="1029"/>
      <c r="V487" s="810" t="e">
        <f t="shared" si="17"/>
        <v>#DIV/0!</v>
      </c>
      <c r="W487" s="901"/>
      <c r="X487" s="901"/>
      <c r="Y487" s="471">
        <f t="shared" si="18"/>
        <v>0</v>
      </c>
      <c r="Z487" s="472"/>
      <c r="AA487" s="472"/>
      <c r="AB487" s="472"/>
      <c r="AC487" s="471">
        <f t="shared" si="19"/>
        <v>0</v>
      </c>
      <c r="AD487" s="472"/>
      <c r="AE487" s="472"/>
      <c r="AF487" s="472"/>
    </row>
    <row r="488" spans="1:32" s="16" customFormat="1" ht="17.25" customHeight="1" x14ac:dyDescent="0.2">
      <c r="A488" s="1060"/>
      <c r="B488" s="1049"/>
      <c r="C488" s="1049"/>
      <c r="D488" s="1049"/>
      <c r="E488" s="1034"/>
      <c r="F488" s="1035"/>
      <c r="G488" s="1035"/>
      <c r="H488" s="1035"/>
      <c r="I488" s="1035"/>
      <c r="J488" s="1034"/>
      <c r="K488" s="1035"/>
      <c r="L488" s="1035"/>
      <c r="M488" s="1035"/>
      <c r="N488" s="1035"/>
      <c r="O488" s="1034"/>
      <c r="P488" s="1035"/>
      <c r="Q488" s="1035"/>
      <c r="R488" s="1035"/>
      <c r="S488" s="1035"/>
      <c r="T488" s="1028">
        <v>0</v>
      </c>
      <c r="U488" s="1029"/>
      <c r="V488" s="810" t="e">
        <f t="shared" si="17"/>
        <v>#DIV/0!</v>
      </c>
      <c r="W488" s="901"/>
      <c r="X488" s="901"/>
      <c r="Y488" s="471">
        <f t="shared" si="18"/>
        <v>0</v>
      </c>
      <c r="Z488" s="472"/>
      <c r="AA488" s="472"/>
      <c r="AB488" s="472"/>
      <c r="AC488" s="471">
        <f t="shared" si="19"/>
        <v>0</v>
      </c>
      <c r="AD488" s="472"/>
      <c r="AE488" s="472"/>
      <c r="AF488" s="472"/>
    </row>
    <row r="489" spans="1:32" s="16" customFormat="1" ht="22.5" customHeight="1" x14ac:dyDescent="0.2">
      <c r="A489" s="1058" t="s">
        <v>205</v>
      </c>
      <c r="B489" s="1059"/>
      <c r="C489" s="1059"/>
      <c r="D489" s="1059"/>
      <c r="E489" s="823">
        <f>SUM(E479:I487)</f>
        <v>394600000</v>
      </c>
      <c r="F489" s="1046"/>
      <c r="G489" s="1046"/>
      <c r="H489" s="1046"/>
      <c r="I489" s="1047"/>
      <c r="J489" s="823">
        <f>SUM(J479:N487)</f>
        <v>362499500</v>
      </c>
      <c r="K489" s="1046"/>
      <c r="L489" s="1046"/>
      <c r="M489" s="1046"/>
      <c r="N489" s="1047"/>
      <c r="O489" s="823">
        <f>SUM(O479:S487)</f>
        <v>12870000</v>
      </c>
      <c r="P489" s="1046"/>
      <c r="Q489" s="1046"/>
      <c r="R489" s="1046"/>
      <c r="S489" s="1047"/>
      <c r="T489" s="1028">
        <f>(J489-O489)/O489*100</f>
        <v>2716.6239316239316</v>
      </c>
      <c r="U489" s="1029"/>
      <c r="V489" s="810">
        <f t="shared" si="17"/>
        <v>91.865053218449063</v>
      </c>
      <c r="W489" s="901"/>
      <c r="X489" s="901"/>
      <c r="Y489" s="471">
        <f t="shared" si="18"/>
        <v>32100500</v>
      </c>
      <c r="Z489" s="472"/>
      <c r="AA489" s="472"/>
      <c r="AB489" s="472"/>
      <c r="AC489" s="471">
        <f t="shared" si="19"/>
        <v>349629500</v>
      </c>
      <c r="AD489" s="472"/>
      <c r="AE489" s="472"/>
      <c r="AF489" s="472"/>
    </row>
    <row r="490" spans="1:32" s="16" customFormat="1" ht="10.5" customHeight="1" x14ac:dyDescent="0.2">
      <c r="A490" s="14"/>
      <c r="B490" s="124"/>
      <c r="C490" s="124"/>
      <c r="D490" s="124"/>
      <c r="E490" s="124"/>
      <c r="F490" s="124"/>
      <c r="G490" s="124"/>
      <c r="H490" s="124"/>
      <c r="I490" s="100"/>
      <c r="J490" s="125"/>
      <c r="K490" s="125"/>
      <c r="L490" s="125"/>
      <c r="M490" s="125"/>
      <c r="N490" s="125"/>
      <c r="O490" s="125"/>
      <c r="P490" s="125"/>
      <c r="Q490" s="125"/>
      <c r="R490" s="125"/>
      <c r="S490" s="125"/>
      <c r="T490" s="126"/>
      <c r="U490" s="126"/>
      <c r="V490" s="23"/>
    </row>
    <row r="491" spans="1:32" s="16" customFormat="1" ht="15" customHeight="1" x14ac:dyDescent="0.2">
      <c r="A491" s="14"/>
      <c r="B491" s="124"/>
      <c r="C491" s="124"/>
      <c r="D491" s="127">
        <v>1</v>
      </c>
      <c r="E491" s="1057" t="s">
        <v>275</v>
      </c>
      <c r="F491" s="1057"/>
      <c r="G491" s="1057"/>
      <c r="H491" s="1057"/>
      <c r="I491" s="1057"/>
      <c r="J491" s="1057"/>
      <c r="K491" s="1057"/>
      <c r="L491" s="1057"/>
      <c r="M491" s="1057"/>
      <c r="N491" s="1057"/>
      <c r="O491" s="1057"/>
      <c r="P491" s="1057"/>
      <c r="Q491" s="1057"/>
      <c r="R491" s="1057"/>
      <c r="S491" s="1057"/>
      <c r="T491" s="1057"/>
      <c r="U491" s="1057"/>
      <c r="V491" s="23"/>
    </row>
    <row r="492" spans="1:32" s="16" customFormat="1" ht="15" customHeight="1" x14ac:dyDescent="0.2">
      <c r="A492" s="14"/>
      <c r="B492" s="124"/>
      <c r="C492" s="124"/>
      <c r="D492" s="127">
        <f>D491+1</f>
        <v>2</v>
      </c>
      <c r="E492" s="1057" t="s">
        <v>276</v>
      </c>
      <c r="F492" s="1057"/>
      <c r="G492" s="1057"/>
      <c r="H492" s="1057"/>
      <c r="I492" s="1057"/>
      <c r="J492" s="1057"/>
      <c r="K492" s="1057"/>
      <c r="L492" s="1057"/>
      <c r="M492" s="1057"/>
      <c r="N492" s="1057"/>
      <c r="O492" s="1057"/>
      <c r="P492" s="1057"/>
      <c r="Q492" s="1057"/>
      <c r="R492" s="1057"/>
      <c r="S492" s="1057"/>
      <c r="T492" s="1057"/>
      <c r="U492" s="1057"/>
      <c r="V492" s="23"/>
    </row>
    <row r="493" spans="1:32" s="16" customFormat="1" ht="15" customHeight="1" x14ac:dyDescent="0.2">
      <c r="A493" s="14"/>
      <c r="B493" s="124"/>
      <c r="C493" s="124"/>
      <c r="D493" s="127">
        <f>D492+1</f>
        <v>3</v>
      </c>
      <c r="E493" s="1057" t="s">
        <v>277</v>
      </c>
      <c r="F493" s="1057"/>
      <c r="G493" s="1057"/>
      <c r="H493" s="1057"/>
      <c r="I493" s="1057"/>
      <c r="J493" s="1057"/>
      <c r="K493" s="1057"/>
      <c r="L493" s="1057"/>
      <c r="M493" s="1057"/>
      <c r="N493" s="1057"/>
      <c r="O493" s="1057"/>
      <c r="P493" s="1057"/>
      <c r="Q493" s="1057"/>
      <c r="R493" s="1057"/>
      <c r="S493" s="1057"/>
      <c r="T493" s="1057"/>
      <c r="U493" s="1057"/>
      <c r="V493" s="23"/>
    </row>
    <row r="494" spans="1:32" s="16" customFormat="1" ht="22.5" customHeight="1" x14ac:dyDescent="0.2">
      <c r="A494" s="14"/>
      <c r="B494" s="124"/>
      <c r="C494" s="124"/>
      <c r="D494" s="127">
        <f>D493+1</f>
        <v>4</v>
      </c>
      <c r="E494" s="1057" t="s">
        <v>278</v>
      </c>
      <c r="F494" s="1057"/>
      <c r="G494" s="1057"/>
      <c r="H494" s="1057"/>
      <c r="I494" s="1057"/>
      <c r="J494" s="1057"/>
      <c r="K494" s="1057"/>
      <c r="L494" s="1057"/>
      <c r="M494" s="1057"/>
      <c r="N494" s="1057"/>
      <c r="O494" s="1057"/>
      <c r="P494" s="1057"/>
      <c r="Q494" s="1057"/>
      <c r="R494" s="1057"/>
      <c r="S494" s="1057"/>
      <c r="T494" s="1057"/>
      <c r="U494" s="1057"/>
      <c r="V494" s="23"/>
    </row>
    <row r="495" spans="1:32" s="16" customFormat="1" ht="76.5" customHeight="1" x14ac:dyDescent="0.2">
      <c r="A495" s="14"/>
      <c r="B495" s="124"/>
      <c r="C495" s="124"/>
      <c r="D495" s="128"/>
      <c r="E495" s="408" t="str">
        <f>"Realisasi Belanja Modal Alat Rumah Tangga TA "&amp;'[1]2.ISIAN DATA SKPD'!D11&amp;" sebesar Rp. "&amp;FIXED(J503)&amp;", atau mencapai sebesar "&amp;FIXED(V503)&amp;"% dari anggaran sebesar Rp. "&amp;FIXED(E503)&amp;", kurang dari anggaran sebesar Rp. "&amp;FIXED(Y503)&amp;".   Bila dibandingkan dengan realisasi TA "&amp;'[1]2.ISIAN DATA SKPD'!D12&amp;" naik sebesar Rp. "&amp;FIXED(AC503)&amp;" atau "&amp;FIXED(T503)&amp;"%."</f>
        <v>Realisasi Belanja Modal Alat Rumah Tangga TA 2018 sebesar Rp. 12.870.000,00, atau mencapai sebesar 99,00% dari anggaran sebesar Rp. 13.000.000,00, kurang dari anggaran sebesar Rp. 130.000,00.   Bila dibandingkan dengan realisasi TA 2017 naik sebesar Rp. -56.670.000,00 atau -81,49%.</v>
      </c>
      <c r="F495" s="408"/>
      <c r="G495" s="408"/>
      <c r="H495" s="408"/>
      <c r="I495" s="408"/>
      <c r="J495" s="408"/>
      <c r="K495" s="408"/>
      <c r="L495" s="408"/>
      <c r="M495" s="408"/>
      <c r="N495" s="408"/>
      <c r="O495" s="408"/>
      <c r="P495" s="408"/>
      <c r="Q495" s="408"/>
      <c r="R495" s="408"/>
      <c r="S495" s="408"/>
      <c r="T495" s="408"/>
      <c r="U495" s="408"/>
      <c r="V495" s="23"/>
    </row>
    <row r="496" spans="1:32" s="16" customFormat="1" ht="31.5" customHeight="1" x14ac:dyDescent="0.2">
      <c r="A496" s="14"/>
      <c r="B496" s="124"/>
      <c r="C496" s="124"/>
      <c r="D496" s="128"/>
      <c r="E496" s="408" t="s">
        <v>279</v>
      </c>
      <c r="F496" s="408"/>
      <c r="G496" s="408"/>
      <c r="H496" s="408"/>
      <c r="I496" s="408"/>
      <c r="J496" s="408"/>
      <c r="K496" s="408"/>
      <c r="L496" s="408"/>
      <c r="M496" s="408"/>
      <c r="N496" s="408"/>
      <c r="O496" s="408"/>
      <c r="P496" s="408"/>
      <c r="Q496" s="408"/>
      <c r="R496" s="408"/>
      <c r="S496" s="408"/>
      <c r="T496" s="408"/>
      <c r="U496" s="408"/>
      <c r="V496" s="23"/>
    </row>
    <row r="497" spans="1:32" s="16" customFormat="1" ht="18" customHeight="1" x14ac:dyDescent="0.2">
      <c r="A497" s="14"/>
      <c r="B497" s="124"/>
      <c r="C497" s="124"/>
      <c r="D497" s="124"/>
      <c r="E497" s="37"/>
      <c r="F497" s="37"/>
      <c r="G497" s="37"/>
      <c r="H497" s="37"/>
      <c r="I497" s="37"/>
      <c r="J497" s="37"/>
      <c r="K497" s="37"/>
      <c r="L497" s="37"/>
      <c r="M497" s="37"/>
      <c r="N497" s="37"/>
      <c r="O497" s="37"/>
      <c r="P497" s="37"/>
      <c r="Q497" s="37"/>
      <c r="R497" s="37"/>
      <c r="S497" s="37"/>
      <c r="T497" s="37"/>
      <c r="U497" s="37"/>
      <c r="V497" s="23"/>
    </row>
    <row r="498" spans="1:32" s="16" customFormat="1" ht="30" customHeight="1" x14ac:dyDescent="0.2">
      <c r="A498" s="1020" t="s">
        <v>280</v>
      </c>
      <c r="B498" s="1021"/>
      <c r="C498" s="1021"/>
      <c r="D498" s="1021"/>
      <c r="E498" s="1032" t="str">
        <f>E478</f>
        <v>Anggaran</v>
      </c>
      <c r="F498" s="1032"/>
      <c r="G498" s="1032"/>
      <c r="H498" s="1032"/>
      <c r="I498" s="1032"/>
      <c r="J498" s="1032" t="str">
        <f>J478</f>
        <v>Realisasi                      TA 2018</v>
      </c>
      <c r="K498" s="1032"/>
      <c r="L498" s="1032"/>
      <c r="M498" s="1032"/>
      <c r="N498" s="1032"/>
      <c r="O498" s="1032" t="str">
        <f>O478</f>
        <v>Realisasi                   TA 2017</v>
      </c>
      <c r="P498" s="1032"/>
      <c r="Q498" s="1032"/>
      <c r="R498" s="1032"/>
      <c r="S498" s="1032"/>
      <c r="T498" s="1051" t="s">
        <v>247</v>
      </c>
      <c r="U498" s="1052"/>
      <c r="V498" s="780" t="s">
        <v>196</v>
      </c>
      <c r="W498" s="908"/>
      <c r="X498" s="908"/>
      <c r="Y498" s="892" t="s">
        <v>195</v>
      </c>
      <c r="Z498" s="472"/>
      <c r="AA498" s="472"/>
      <c r="AB498" s="472" t="s">
        <v>196</v>
      </c>
      <c r="AC498" s="892" t="s">
        <v>197</v>
      </c>
      <c r="AD498" s="472"/>
      <c r="AE498" s="472"/>
      <c r="AF498" s="472"/>
    </row>
    <row r="499" spans="1:32" s="16" customFormat="1" ht="15" customHeight="1" x14ac:dyDescent="0.2">
      <c r="A499" s="1053" t="s">
        <v>281</v>
      </c>
      <c r="B499" s="1054"/>
      <c r="C499" s="1054"/>
      <c r="D499" s="1054"/>
      <c r="E499" s="1034">
        <v>13000000</v>
      </c>
      <c r="F499" s="1035"/>
      <c r="G499" s="1035"/>
      <c r="H499" s="1035"/>
      <c r="I499" s="1035"/>
      <c r="J499" s="1034">
        <v>12870000</v>
      </c>
      <c r="K499" s="1035"/>
      <c r="L499" s="1035"/>
      <c r="M499" s="1035"/>
      <c r="N499" s="1035"/>
      <c r="O499" s="1034">
        <v>0</v>
      </c>
      <c r="P499" s="1035"/>
      <c r="Q499" s="1035"/>
      <c r="R499" s="1035"/>
      <c r="S499" s="1035"/>
      <c r="T499" s="1028">
        <v>100</v>
      </c>
      <c r="U499" s="1029"/>
      <c r="V499" s="810">
        <f>J499/E499*100</f>
        <v>99</v>
      </c>
      <c r="W499" s="901"/>
      <c r="X499" s="901"/>
      <c r="Y499" s="471">
        <f>E499-J499</f>
        <v>130000</v>
      </c>
      <c r="Z499" s="472"/>
      <c r="AA499" s="472"/>
      <c r="AB499" s="472"/>
      <c r="AC499" s="471">
        <f>J499-O499</f>
        <v>12870000</v>
      </c>
      <c r="AD499" s="472"/>
      <c r="AE499" s="472"/>
      <c r="AF499" s="472"/>
    </row>
    <row r="500" spans="1:32" s="16" customFormat="1" ht="15" customHeight="1" x14ac:dyDescent="0.2">
      <c r="A500" s="1053" t="s">
        <v>282</v>
      </c>
      <c r="B500" s="1054"/>
      <c r="C500" s="1054"/>
      <c r="D500" s="1054"/>
      <c r="E500" s="1034">
        <v>0</v>
      </c>
      <c r="F500" s="1035"/>
      <c r="G500" s="1035"/>
      <c r="H500" s="1035"/>
      <c r="I500" s="1035"/>
      <c r="J500" s="1034">
        <v>0</v>
      </c>
      <c r="K500" s="1035"/>
      <c r="L500" s="1035"/>
      <c r="M500" s="1035"/>
      <c r="N500" s="1035"/>
      <c r="O500" s="1034">
        <v>69540000</v>
      </c>
      <c r="P500" s="1035"/>
      <c r="Q500" s="1035"/>
      <c r="R500" s="1035"/>
      <c r="S500" s="1035"/>
      <c r="T500" s="1028">
        <f>(J500-O500)/O500*100</f>
        <v>-100</v>
      </c>
      <c r="U500" s="1029"/>
      <c r="V500" s="810" t="e">
        <f>J500/E500*100</f>
        <v>#DIV/0!</v>
      </c>
      <c r="W500" s="901"/>
      <c r="X500" s="901"/>
      <c r="Y500" s="471">
        <f>E500-J500</f>
        <v>0</v>
      </c>
      <c r="Z500" s="472"/>
      <c r="AA500" s="472"/>
      <c r="AB500" s="472"/>
      <c r="AC500" s="471">
        <f>J500-O500</f>
        <v>-69540000</v>
      </c>
      <c r="AD500" s="472"/>
      <c r="AE500" s="472"/>
      <c r="AF500" s="472"/>
    </row>
    <row r="501" spans="1:32" s="16" customFormat="1" ht="15" customHeight="1" x14ac:dyDescent="0.2">
      <c r="A501" s="1053" t="s">
        <v>283</v>
      </c>
      <c r="B501" s="1054"/>
      <c r="C501" s="1054"/>
      <c r="D501" s="1054"/>
      <c r="E501" s="1034">
        <v>0</v>
      </c>
      <c r="F501" s="1035"/>
      <c r="G501" s="1035"/>
      <c r="H501" s="1035"/>
      <c r="I501" s="1035"/>
      <c r="J501" s="1034">
        <v>0</v>
      </c>
      <c r="K501" s="1035"/>
      <c r="L501" s="1035"/>
      <c r="M501" s="1035"/>
      <c r="N501" s="1035"/>
      <c r="O501" s="1034">
        <v>0</v>
      </c>
      <c r="P501" s="1035"/>
      <c r="Q501" s="1035"/>
      <c r="R501" s="1035"/>
      <c r="S501" s="1035"/>
      <c r="T501" s="1028">
        <v>0</v>
      </c>
      <c r="U501" s="1029"/>
      <c r="V501" s="810" t="e">
        <f>J501/E501*100</f>
        <v>#DIV/0!</v>
      </c>
      <c r="W501" s="901"/>
      <c r="X501" s="901"/>
      <c r="Y501" s="471">
        <f>E501-J501</f>
        <v>0</v>
      </c>
      <c r="Z501" s="472"/>
      <c r="AA501" s="472"/>
      <c r="AB501" s="472"/>
      <c r="AC501" s="471">
        <f>J501-O501</f>
        <v>0</v>
      </c>
      <c r="AD501" s="472"/>
      <c r="AE501" s="472"/>
      <c r="AF501" s="472"/>
    </row>
    <row r="502" spans="1:32" s="16" customFormat="1" ht="15" customHeight="1" x14ac:dyDescent="0.2">
      <c r="A502" s="1053" t="s">
        <v>284</v>
      </c>
      <c r="B502" s="1054"/>
      <c r="C502" s="1054"/>
      <c r="D502" s="1054"/>
      <c r="E502" s="1034">
        <v>0</v>
      </c>
      <c r="F502" s="1035"/>
      <c r="G502" s="1035"/>
      <c r="H502" s="1035"/>
      <c r="I502" s="1035"/>
      <c r="J502" s="1034">
        <v>0</v>
      </c>
      <c r="K502" s="1035"/>
      <c r="L502" s="1035"/>
      <c r="M502" s="1035"/>
      <c r="N502" s="1035"/>
      <c r="O502" s="1034">
        <v>0</v>
      </c>
      <c r="P502" s="1035"/>
      <c r="Q502" s="1035"/>
      <c r="R502" s="1035"/>
      <c r="S502" s="1035"/>
      <c r="T502" s="1028">
        <v>0</v>
      </c>
      <c r="U502" s="1029"/>
      <c r="V502" s="810" t="e">
        <f>J502/E502*100</f>
        <v>#DIV/0!</v>
      </c>
      <c r="W502" s="901"/>
      <c r="X502" s="901"/>
      <c r="Y502" s="471">
        <f>E502-J502</f>
        <v>0</v>
      </c>
      <c r="Z502" s="472"/>
      <c r="AA502" s="472"/>
      <c r="AB502" s="472"/>
      <c r="AC502" s="471">
        <f>J502-O502</f>
        <v>0</v>
      </c>
      <c r="AD502" s="472"/>
      <c r="AE502" s="472"/>
      <c r="AF502" s="472"/>
    </row>
    <row r="503" spans="1:32" s="16" customFormat="1" ht="19.5" customHeight="1" x14ac:dyDescent="0.2">
      <c r="A503" s="497" t="s">
        <v>205</v>
      </c>
      <c r="B503" s="1055"/>
      <c r="C503" s="1055"/>
      <c r="D503" s="1056"/>
      <c r="E503" s="823">
        <f>SUM(E499:I502)</f>
        <v>13000000</v>
      </c>
      <c r="F503" s="1046"/>
      <c r="G503" s="1046"/>
      <c r="H503" s="1046"/>
      <c r="I503" s="1047"/>
      <c r="J503" s="823">
        <f>SUM(J499:N502)</f>
        <v>12870000</v>
      </c>
      <c r="K503" s="1046"/>
      <c r="L503" s="1046"/>
      <c r="M503" s="1046"/>
      <c r="N503" s="1047"/>
      <c r="O503" s="823">
        <f>SUM(O499:S502)</f>
        <v>69540000</v>
      </c>
      <c r="P503" s="1046"/>
      <c r="Q503" s="1046"/>
      <c r="R503" s="1046"/>
      <c r="S503" s="1047"/>
      <c r="T503" s="1028">
        <f>(J503-O503)/O503*100</f>
        <v>-81.492666091458148</v>
      </c>
      <c r="U503" s="1029"/>
      <c r="V503" s="810">
        <f>J503/E503*100</f>
        <v>99</v>
      </c>
      <c r="W503" s="901"/>
      <c r="X503" s="901"/>
      <c r="Y503" s="471">
        <f>E503-J503</f>
        <v>130000</v>
      </c>
      <c r="Z503" s="472"/>
      <c r="AA503" s="472"/>
      <c r="AB503" s="472"/>
      <c r="AC503" s="471">
        <f>J503-O503</f>
        <v>-56670000</v>
      </c>
      <c r="AD503" s="472"/>
      <c r="AE503" s="472"/>
      <c r="AF503" s="472"/>
    </row>
    <row r="504" spans="1:32" s="16" customFormat="1" ht="12.75" customHeight="1" x14ac:dyDescent="0.2">
      <c r="A504" s="14"/>
      <c r="B504" s="124"/>
      <c r="C504" s="124"/>
      <c r="D504" s="124"/>
      <c r="E504" s="37"/>
      <c r="F504" s="37"/>
      <c r="G504" s="37"/>
      <c r="H504" s="37"/>
      <c r="I504" s="37"/>
      <c r="J504" s="37"/>
      <c r="K504" s="37"/>
      <c r="L504" s="37"/>
      <c r="M504" s="37"/>
      <c r="N504" s="37"/>
      <c r="O504" s="37"/>
      <c r="P504" s="37"/>
      <c r="Q504" s="37"/>
      <c r="R504" s="37"/>
      <c r="S504" s="37"/>
      <c r="T504" s="37"/>
      <c r="U504" s="37"/>
      <c r="V504" s="23"/>
    </row>
    <row r="505" spans="1:32" s="16" customFormat="1" ht="22.5" customHeight="1" x14ac:dyDescent="0.2">
      <c r="A505" s="14"/>
      <c r="B505" s="124"/>
      <c r="C505" s="124"/>
      <c r="D505" s="124">
        <f>D494+1</f>
        <v>5</v>
      </c>
      <c r="E505" s="1050" t="s">
        <v>285</v>
      </c>
      <c r="F505" s="1050"/>
      <c r="G505" s="1050"/>
      <c r="H505" s="1050"/>
      <c r="I505" s="1050"/>
      <c r="J505" s="1050"/>
      <c r="K505" s="1050"/>
      <c r="L505" s="1050"/>
      <c r="M505" s="1050"/>
      <c r="N505" s="1050"/>
      <c r="O505" s="1050"/>
      <c r="P505" s="1050"/>
      <c r="Q505" s="1050"/>
      <c r="R505" s="1050"/>
      <c r="S505" s="1050"/>
      <c r="T505" s="1050"/>
      <c r="U505" s="1050"/>
      <c r="V505" s="23"/>
    </row>
    <row r="506" spans="1:32" s="16" customFormat="1" ht="63" customHeight="1" x14ac:dyDescent="0.2">
      <c r="A506" s="14"/>
      <c r="B506" s="124"/>
      <c r="C506" s="124"/>
      <c r="D506" s="124"/>
      <c r="E506" s="408" t="str">
        <f>"Realisasi Belanja Modal Komputer TA "&amp;'[1]2.ISIAN DATA SKPD'!D11&amp;" sebesar Rp. 0, atau mencapai sebesar 0% dari anggaran sebesar Rp. "&amp;FIXED(E513)&amp;", kurang dari anggaran sebesar Rp. 0.  Bila dibandingkan dengan realisasi TA "&amp;'[1]2.ISIAN DATA SKPD'!D12&amp;" naik sebesar Rp. 0 atau 0%."</f>
        <v>Realisasi Belanja Modal Komputer TA 2018 sebesar Rp. 0, atau mencapai sebesar 0% dari anggaran sebesar Rp. 0,00, kurang dari anggaran sebesar Rp. 0.  Bila dibandingkan dengan realisasi TA 2017 naik sebesar Rp. 0 atau 0%.</v>
      </c>
      <c r="F506" s="408"/>
      <c r="G506" s="408"/>
      <c r="H506" s="408"/>
      <c r="I506" s="408"/>
      <c r="J506" s="408"/>
      <c r="K506" s="408"/>
      <c r="L506" s="408"/>
      <c r="M506" s="408"/>
      <c r="N506" s="408"/>
      <c r="O506" s="408"/>
      <c r="P506" s="408"/>
      <c r="Q506" s="408"/>
      <c r="R506" s="408"/>
      <c r="S506" s="408"/>
      <c r="T506" s="408"/>
      <c r="U506" s="408"/>
      <c r="V506" s="23"/>
    </row>
    <row r="507" spans="1:32" s="16" customFormat="1" ht="32.25" customHeight="1" x14ac:dyDescent="0.2">
      <c r="A507" s="14"/>
      <c r="B507" s="124"/>
      <c r="C507" s="124"/>
      <c r="D507" s="124"/>
      <c r="E507" s="408" t="s">
        <v>286</v>
      </c>
      <c r="F507" s="408"/>
      <c r="G507" s="408"/>
      <c r="H507" s="408"/>
      <c r="I507" s="408"/>
      <c r="J507" s="408"/>
      <c r="K507" s="408"/>
      <c r="L507" s="408"/>
      <c r="M507" s="408"/>
      <c r="N507" s="408"/>
      <c r="O507" s="408"/>
      <c r="P507" s="408"/>
      <c r="Q507" s="408"/>
      <c r="R507" s="408"/>
      <c r="S507" s="408"/>
      <c r="T507" s="408"/>
      <c r="U507" s="408"/>
      <c r="V507" s="23"/>
    </row>
    <row r="508" spans="1:32" s="16" customFormat="1" ht="15" customHeight="1" x14ac:dyDescent="0.2">
      <c r="A508" s="14"/>
      <c r="B508" s="124"/>
      <c r="C508" s="124"/>
      <c r="D508" s="124"/>
      <c r="E508" s="129"/>
      <c r="F508" s="129"/>
      <c r="G508" s="129"/>
      <c r="H508" s="129"/>
      <c r="I508" s="129"/>
      <c r="J508" s="129"/>
      <c r="K508" s="129"/>
      <c r="L508" s="129"/>
      <c r="M508" s="129"/>
      <c r="N508" s="129"/>
      <c r="O508" s="129"/>
      <c r="P508" s="129"/>
      <c r="Q508" s="129"/>
      <c r="R508" s="129"/>
      <c r="S508" s="129"/>
      <c r="T508" s="129"/>
      <c r="U508" s="129"/>
      <c r="V508" s="23"/>
    </row>
    <row r="509" spans="1:32" s="16" customFormat="1" ht="38.25" customHeight="1" x14ac:dyDescent="0.2">
      <c r="A509" s="1020" t="s">
        <v>287</v>
      </c>
      <c r="B509" s="1021"/>
      <c r="C509" s="1021"/>
      <c r="D509" s="1021"/>
      <c r="E509" s="1032" t="str">
        <f>E498</f>
        <v>Anggaran</v>
      </c>
      <c r="F509" s="1032"/>
      <c r="G509" s="1032"/>
      <c r="H509" s="1032"/>
      <c r="I509" s="1032"/>
      <c r="J509" s="1032" t="str">
        <f>J498</f>
        <v>Realisasi                      TA 2018</v>
      </c>
      <c r="K509" s="1032"/>
      <c r="L509" s="1032"/>
      <c r="M509" s="1032"/>
      <c r="N509" s="1032"/>
      <c r="O509" s="1032" t="str">
        <f>O498</f>
        <v>Realisasi                   TA 2017</v>
      </c>
      <c r="P509" s="1032"/>
      <c r="Q509" s="1032"/>
      <c r="R509" s="1032"/>
      <c r="S509" s="1032"/>
      <c r="T509" s="1051" t="s">
        <v>247</v>
      </c>
      <c r="U509" s="1052"/>
      <c r="V509" s="780" t="s">
        <v>196</v>
      </c>
      <c r="W509" s="908"/>
      <c r="X509" s="908"/>
      <c r="Y509" s="892" t="s">
        <v>195</v>
      </c>
      <c r="Z509" s="472"/>
      <c r="AA509" s="472"/>
      <c r="AB509" s="472" t="s">
        <v>196</v>
      </c>
      <c r="AC509" s="892" t="s">
        <v>197</v>
      </c>
      <c r="AD509" s="472"/>
      <c r="AE509" s="472"/>
      <c r="AF509" s="472"/>
    </row>
    <row r="510" spans="1:32" s="16" customFormat="1" ht="17.25" customHeight="1" x14ac:dyDescent="0.2">
      <c r="A510" s="1053" t="s">
        <v>288</v>
      </c>
      <c r="B510" s="1054" t="s">
        <v>288</v>
      </c>
      <c r="C510" s="1054" t="s">
        <v>288</v>
      </c>
      <c r="D510" s="1054" t="s">
        <v>288</v>
      </c>
      <c r="E510" s="1034">
        <v>0</v>
      </c>
      <c r="F510" s="1035"/>
      <c r="G510" s="1035"/>
      <c r="H510" s="1035"/>
      <c r="I510" s="1035"/>
      <c r="J510" s="1034">
        <v>0</v>
      </c>
      <c r="K510" s="1035"/>
      <c r="L510" s="1035"/>
      <c r="M510" s="1035"/>
      <c r="N510" s="1035"/>
      <c r="O510" s="1034">
        <v>0</v>
      </c>
      <c r="P510" s="1035"/>
      <c r="Q510" s="1035"/>
      <c r="R510" s="1035"/>
      <c r="S510" s="1035"/>
      <c r="T510" s="1028">
        <v>0</v>
      </c>
      <c r="U510" s="1029"/>
      <c r="V510" s="810" t="e">
        <f>J510/E510*100</f>
        <v>#DIV/0!</v>
      </c>
      <c r="W510" s="901"/>
      <c r="X510" s="901"/>
      <c r="Y510" s="471">
        <f>E510-J510</f>
        <v>0</v>
      </c>
      <c r="Z510" s="472"/>
      <c r="AA510" s="472"/>
      <c r="AB510" s="472"/>
      <c r="AC510" s="471">
        <f>J510-O510</f>
        <v>0</v>
      </c>
      <c r="AD510" s="472"/>
      <c r="AE510" s="472"/>
      <c r="AF510" s="472"/>
    </row>
    <row r="511" spans="1:32" s="16" customFormat="1" ht="17.25" customHeight="1" x14ac:dyDescent="0.2">
      <c r="A511" s="1053" t="s">
        <v>289</v>
      </c>
      <c r="B511" s="1054" t="s">
        <v>289</v>
      </c>
      <c r="C511" s="1054" t="s">
        <v>289</v>
      </c>
      <c r="D511" s="1054" t="s">
        <v>289</v>
      </c>
      <c r="E511" s="1034">
        <v>0</v>
      </c>
      <c r="F511" s="1035"/>
      <c r="G511" s="1035"/>
      <c r="H511" s="1035"/>
      <c r="I511" s="1035"/>
      <c r="J511" s="1034">
        <v>0</v>
      </c>
      <c r="K511" s="1035"/>
      <c r="L511" s="1035"/>
      <c r="M511" s="1035"/>
      <c r="N511" s="1035"/>
      <c r="O511" s="1034">
        <v>0</v>
      </c>
      <c r="P511" s="1035"/>
      <c r="Q511" s="1035"/>
      <c r="R511" s="1035"/>
      <c r="S511" s="1035"/>
      <c r="T511" s="1028">
        <v>0</v>
      </c>
      <c r="U511" s="1029"/>
      <c r="V511" s="810" t="e">
        <f>J511/E511*100</f>
        <v>#DIV/0!</v>
      </c>
      <c r="W511" s="901"/>
      <c r="X511" s="901"/>
      <c r="Y511" s="471">
        <f>E511-J511</f>
        <v>0</v>
      </c>
      <c r="Z511" s="472"/>
      <c r="AA511" s="472"/>
      <c r="AB511" s="472"/>
      <c r="AC511" s="471">
        <f>J511-O511</f>
        <v>0</v>
      </c>
      <c r="AD511" s="472"/>
      <c r="AE511" s="472"/>
      <c r="AF511" s="472"/>
    </row>
    <row r="512" spans="1:32" s="16" customFormat="1" ht="27" customHeight="1" x14ac:dyDescent="0.2">
      <c r="A512" s="1053" t="s">
        <v>290</v>
      </c>
      <c r="B512" s="1054" t="s">
        <v>290</v>
      </c>
      <c r="C512" s="1054" t="s">
        <v>290</v>
      </c>
      <c r="D512" s="1054" t="s">
        <v>290</v>
      </c>
      <c r="E512" s="1034">
        <v>0</v>
      </c>
      <c r="F512" s="1035"/>
      <c r="G512" s="1035"/>
      <c r="H512" s="1035"/>
      <c r="I512" s="1035"/>
      <c r="J512" s="1034">
        <v>0</v>
      </c>
      <c r="K512" s="1035"/>
      <c r="L512" s="1035"/>
      <c r="M512" s="1035"/>
      <c r="N512" s="1035"/>
      <c r="O512" s="1034">
        <v>0</v>
      </c>
      <c r="P512" s="1035"/>
      <c r="Q512" s="1035"/>
      <c r="R512" s="1035"/>
      <c r="S512" s="1035"/>
      <c r="T512" s="1028">
        <v>0</v>
      </c>
      <c r="U512" s="1029"/>
      <c r="V512" s="810" t="e">
        <f>J512/E512*100</f>
        <v>#DIV/0!</v>
      </c>
      <c r="W512" s="901"/>
      <c r="X512" s="901"/>
      <c r="Y512" s="471">
        <f>E512-J512</f>
        <v>0</v>
      </c>
      <c r="Z512" s="472"/>
      <c r="AA512" s="472"/>
      <c r="AB512" s="472"/>
      <c r="AC512" s="471">
        <f>J512-O512</f>
        <v>0</v>
      </c>
      <c r="AD512" s="472"/>
      <c r="AE512" s="472"/>
      <c r="AF512" s="472"/>
    </row>
    <row r="513" spans="1:32" s="16" customFormat="1" ht="17.25" customHeight="1" x14ac:dyDescent="0.2">
      <c r="A513" s="481" t="s">
        <v>205</v>
      </c>
      <c r="B513" s="1044"/>
      <c r="C513" s="1044"/>
      <c r="D513" s="1045"/>
      <c r="E513" s="823">
        <f>SUM(E510:I512)</f>
        <v>0</v>
      </c>
      <c r="F513" s="1046"/>
      <c r="G513" s="1046"/>
      <c r="H513" s="1046"/>
      <c r="I513" s="1047"/>
      <c r="J513" s="823">
        <f>SUM(J510:N512)</f>
        <v>0</v>
      </c>
      <c r="K513" s="1046"/>
      <c r="L513" s="1046"/>
      <c r="M513" s="1046"/>
      <c r="N513" s="1047"/>
      <c r="O513" s="823">
        <f>SUM(O510:S512)</f>
        <v>0</v>
      </c>
      <c r="P513" s="1046"/>
      <c r="Q513" s="1046"/>
      <c r="R513" s="1046"/>
      <c r="S513" s="1047"/>
      <c r="T513" s="1028">
        <v>0</v>
      </c>
      <c r="U513" s="1029"/>
      <c r="V513" s="810" t="e">
        <f>J513/E513*100</f>
        <v>#DIV/0!</v>
      </c>
      <c r="W513" s="901"/>
      <c r="X513" s="901"/>
      <c r="Y513" s="471">
        <f>E513-J513</f>
        <v>0</v>
      </c>
      <c r="Z513" s="472"/>
      <c r="AA513" s="472"/>
      <c r="AB513" s="472"/>
      <c r="AC513" s="471">
        <f>J513-O513</f>
        <v>0</v>
      </c>
      <c r="AD513" s="472"/>
      <c r="AE513" s="472"/>
      <c r="AF513" s="472"/>
    </row>
    <row r="514" spans="1:32" s="16" customFormat="1" ht="16.5" customHeight="1" x14ac:dyDescent="0.2">
      <c r="A514" s="14"/>
      <c r="B514" s="124"/>
      <c r="C514" s="124"/>
      <c r="D514" s="124"/>
      <c r="E514" s="129"/>
      <c r="F514" s="129"/>
      <c r="G514" s="129"/>
      <c r="H514" s="129"/>
      <c r="I514" s="129"/>
      <c r="J514" s="129"/>
      <c r="K514" s="129"/>
      <c r="L514" s="129"/>
      <c r="M514" s="129"/>
      <c r="N514" s="129"/>
      <c r="O514" s="129"/>
      <c r="P514" s="129"/>
      <c r="Q514" s="129"/>
      <c r="R514" s="129"/>
      <c r="S514" s="129"/>
      <c r="T514" s="129"/>
      <c r="U514" s="129"/>
      <c r="V514" s="576"/>
      <c r="W514" s="576"/>
      <c r="X514" s="576"/>
      <c r="Y514" s="578"/>
      <c r="Z514" s="579"/>
      <c r="AA514" s="579"/>
      <c r="AB514" s="579"/>
      <c r="AC514" s="578"/>
      <c r="AD514" s="579"/>
      <c r="AE514" s="579"/>
      <c r="AF514" s="579"/>
    </row>
    <row r="515" spans="1:32" s="16" customFormat="1" ht="16.5" customHeight="1" x14ac:dyDescent="0.2">
      <c r="A515" s="14"/>
      <c r="B515" s="124"/>
      <c r="C515" s="124"/>
      <c r="D515" s="124">
        <f>D505+1</f>
        <v>6</v>
      </c>
      <c r="E515" s="1050" t="s">
        <v>291</v>
      </c>
      <c r="F515" s="1050"/>
      <c r="G515" s="1050"/>
      <c r="H515" s="1050"/>
      <c r="I515" s="1050"/>
      <c r="J515" s="1050"/>
      <c r="K515" s="1050"/>
      <c r="L515" s="1050"/>
      <c r="M515" s="1050"/>
      <c r="N515" s="1050"/>
      <c r="O515" s="1050"/>
      <c r="P515" s="1050"/>
      <c r="Q515" s="1050"/>
      <c r="R515" s="1050"/>
      <c r="S515" s="1050"/>
      <c r="T515" s="1050"/>
      <c r="U515" s="1050"/>
      <c r="V515" s="23"/>
    </row>
    <row r="516" spans="1:32" s="16" customFormat="1" ht="16.5" customHeight="1" x14ac:dyDescent="0.2">
      <c r="A516" s="14"/>
      <c r="B516" s="124"/>
      <c r="C516" s="124"/>
      <c r="D516" s="124">
        <f>D515+1</f>
        <v>7</v>
      </c>
      <c r="E516" s="1050" t="s">
        <v>292</v>
      </c>
      <c r="F516" s="1050"/>
      <c r="G516" s="1050"/>
      <c r="H516" s="1050"/>
      <c r="I516" s="1050"/>
      <c r="J516" s="1050"/>
      <c r="K516" s="1050"/>
      <c r="L516" s="1050"/>
      <c r="M516" s="1050"/>
      <c r="N516" s="1050"/>
      <c r="O516" s="1050"/>
      <c r="P516" s="1050"/>
      <c r="Q516" s="1050"/>
      <c r="R516" s="1050"/>
      <c r="S516" s="1050"/>
      <c r="T516" s="1050"/>
      <c r="U516" s="1050"/>
      <c r="V516" s="23"/>
    </row>
    <row r="517" spans="1:32" s="16" customFormat="1" ht="16.5" customHeight="1" x14ac:dyDescent="0.2">
      <c r="A517" s="14"/>
      <c r="B517" s="124"/>
      <c r="C517" s="124"/>
      <c r="D517" s="124">
        <f>D516+1</f>
        <v>8</v>
      </c>
      <c r="E517" s="1050" t="s">
        <v>293</v>
      </c>
      <c r="F517" s="1050"/>
      <c r="G517" s="1050"/>
      <c r="H517" s="1050"/>
      <c r="I517" s="1050"/>
      <c r="J517" s="1050"/>
      <c r="K517" s="1050"/>
      <c r="L517" s="1050"/>
      <c r="M517" s="1050"/>
      <c r="N517" s="1050"/>
      <c r="O517" s="1050"/>
      <c r="P517" s="1050"/>
      <c r="Q517" s="1050"/>
      <c r="R517" s="1050"/>
      <c r="S517" s="1050"/>
      <c r="T517" s="1050"/>
      <c r="U517" s="1050"/>
      <c r="V517" s="23"/>
    </row>
    <row r="518" spans="1:32" s="16" customFormat="1" ht="65.25" customHeight="1" x14ac:dyDescent="0.2">
      <c r="A518" s="14"/>
      <c r="B518" s="124"/>
      <c r="C518" s="124"/>
      <c r="D518" s="124"/>
      <c r="E518" s="408" t="str">
        <f>"Realisasi Belanja Modal Alat Kedokteran TA "&amp;'[1]2.ISIAN DATA SKPD'!D11&amp;" sebesar Rp. 0, atau mencapai sebesar 0% dari anggaran sebesar Rp. 0, kurang dari anggaran sebesar Rp. 0. Bila dibandingkan dengan realisasi TA "&amp;'[1]2.ISIAN DATA SKPD'!D12&amp;" naik sebesar Rp. 0 atau 0%."</f>
        <v>Realisasi Belanja Modal Alat Kedokteran TA 2018 sebesar Rp. 0, atau mencapai sebesar 0% dari anggaran sebesar Rp. 0, kurang dari anggaran sebesar Rp. 0. Bila dibandingkan dengan realisasi TA 2017 naik sebesar Rp. 0 atau 0%.</v>
      </c>
      <c r="F518" s="408"/>
      <c r="G518" s="408"/>
      <c r="H518" s="408"/>
      <c r="I518" s="408"/>
      <c r="J518" s="408"/>
      <c r="K518" s="408"/>
      <c r="L518" s="408"/>
      <c r="M518" s="408"/>
      <c r="N518" s="408"/>
      <c r="O518" s="408"/>
      <c r="P518" s="408"/>
      <c r="Q518" s="408"/>
      <c r="R518" s="408"/>
      <c r="S518" s="408"/>
      <c r="T518" s="408"/>
      <c r="U518" s="408"/>
      <c r="V518" s="23"/>
    </row>
    <row r="519" spans="1:32" s="16" customFormat="1" ht="30" customHeight="1" x14ac:dyDescent="0.2">
      <c r="A519" s="14"/>
      <c r="B519" s="124"/>
      <c r="C519" s="124"/>
      <c r="D519" s="124"/>
      <c r="E519" s="408" t="s">
        <v>294</v>
      </c>
      <c r="F519" s="408"/>
      <c r="G519" s="408"/>
      <c r="H519" s="408"/>
      <c r="I519" s="408"/>
      <c r="J519" s="408"/>
      <c r="K519" s="408"/>
      <c r="L519" s="408"/>
      <c r="M519" s="408"/>
      <c r="N519" s="408"/>
      <c r="O519" s="408"/>
      <c r="P519" s="408"/>
      <c r="Q519" s="408"/>
      <c r="R519" s="408"/>
      <c r="S519" s="408"/>
      <c r="T519" s="408"/>
      <c r="U519" s="408"/>
      <c r="V519" s="23"/>
    </row>
    <row r="520" spans="1:32" s="16" customFormat="1" ht="16.5" customHeight="1" x14ac:dyDescent="0.2">
      <c r="A520" s="14"/>
      <c r="B520" s="124"/>
      <c r="C520" s="124"/>
      <c r="D520" s="124"/>
      <c r="E520" s="37"/>
      <c r="F520" s="37"/>
      <c r="G520" s="37"/>
      <c r="H520" s="37"/>
      <c r="I520" s="37"/>
      <c r="J520" s="37"/>
      <c r="K520" s="37"/>
      <c r="L520" s="37"/>
      <c r="M520" s="37"/>
      <c r="N520" s="37"/>
      <c r="O520" s="37"/>
      <c r="P520" s="37"/>
      <c r="Q520" s="37"/>
      <c r="R520" s="37"/>
      <c r="S520" s="37"/>
      <c r="T520" s="37"/>
      <c r="U520" s="37"/>
      <c r="V520" s="23"/>
    </row>
    <row r="521" spans="1:32" s="16" customFormat="1" ht="35.25" customHeight="1" x14ac:dyDescent="0.2">
      <c r="A521" s="1020" t="s">
        <v>295</v>
      </c>
      <c r="B521" s="1021"/>
      <c r="C521" s="1021"/>
      <c r="D521" s="1021"/>
      <c r="E521" s="1032" t="str">
        <f>E509</f>
        <v>Anggaran</v>
      </c>
      <c r="F521" s="1032"/>
      <c r="G521" s="1032"/>
      <c r="H521" s="1032"/>
      <c r="I521" s="1032"/>
      <c r="J521" s="1032" t="str">
        <f>J509</f>
        <v>Realisasi                      TA 2018</v>
      </c>
      <c r="K521" s="1032"/>
      <c r="L521" s="1032"/>
      <c r="M521" s="1032"/>
      <c r="N521" s="1032"/>
      <c r="O521" s="1032" t="str">
        <f>O509</f>
        <v>Realisasi                   TA 2017</v>
      </c>
      <c r="P521" s="1032"/>
      <c r="Q521" s="1032"/>
      <c r="R521" s="1032"/>
      <c r="S521" s="1032"/>
      <c r="T521" s="1051" t="s">
        <v>247</v>
      </c>
      <c r="U521" s="1052"/>
      <c r="V521" s="780" t="s">
        <v>196</v>
      </c>
      <c r="W521" s="908"/>
      <c r="X521" s="908"/>
      <c r="Y521" s="892" t="s">
        <v>195</v>
      </c>
      <c r="Z521" s="472"/>
      <c r="AA521" s="472"/>
      <c r="AB521" s="472" t="s">
        <v>196</v>
      </c>
      <c r="AC521" s="892" t="s">
        <v>197</v>
      </c>
      <c r="AD521" s="472"/>
      <c r="AE521" s="472"/>
      <c r="AF521" s="472"/>
    </row>
    <row r="522" spans="1:32" s="16" customFormat="1" ht="16.5" customHeight="1" x14ac:dyDescent="0.2">
      <c r="A522" s="1053" t="s">
        <v>296</v>
      </c>
      <c r="B522" s="1054" t="s">
        <v>296</v>
      </c>
      <c r="C522" s="1054" t="s">
        <v>296</v>
      </c>
      <c r="D522" s="1054" t="s">
        <v>296</v>
      </c>
      <c r="E522" s="1034">
        <v>0</v>
      </c>
      <c r="F522" s="1035"/>
      <c r="G522" s="1035"/>
      <c r="H522" s="1035"/>
      <c r="I522" s="1035"/>
      <c r="J522" s="1034">
        <v>0</v>
      </c>
      <c r="K522" s="1035"/>
      <c r="L522" s="1035"/>
      <c r="M522" s="1035"/>
      <c r="N522" s="1035"/>
      <c r="O522" s="1034">
        <v>0</v>
      </c>
      <c r="P522" s="1035"/>
      <c r="Q522" s="1035"/>
      <c r="R522" s="1035"/>
      <c r="S522" s="1035"/>
      <c r="T522" s="1028">
        <v>0</v>
      </c>
      <c r="U522" s="1029"/>
      <c r="V522" s="810" t="e">
        <f>J522/E522*100</f>
        <v>#DIV/0!</v>
      </c>
      <c r="W522" s="901"/>
      <c r="X522" s="901"/>
      <c r="Y522" s="471">
        <f>E522-J522</f>
        <v>0</v>
      </c>
      <c r="Z522" s="472"/>
      <c r="AA522" s="472"/>
      <c r="AB522" s="472"/>
      <c r="AC522" s="471">
        <f>J522-O522</f>
        <v>0</v>
      </c>
      <c r="AD522" s="472"/>
      <c r="AE522" s="472"/>
      <c r="AF522" s="472"/>
    </row>
    <row r="523" spans="1:32" s="16" customFormat="1" ht="16.5" customHeight="1" x14ac:dyDescent="0.2">
      <c r="A523" s="1053" t="s">
        <v>297</v>
      </c>
      <c r="B523" s="1054" t="s">
        <v>297</v>
      </c>
      <c r="C523" s="1054" t="s">
        <v>297</v>
      </c>
      <c r="D523" s="1054" t="s">
        <v>297</v>
      </c>
      <c r="E523" s="1034">
        <v>0</v>
      </c>
      <c r="F523" s="1035"/>
      <c r="G523" s="1035"/>
      <c r="H523" s="1035"/>
      <c r="I523" s="1035"/>
      <c r="J523" s="1034">
        <v>0</v>
      </c>
      <c r="K523" s="1035"/>
      <c r="L523" s="1035"/>
      <c r="M523" s="1035"/>
      <c r="N523" s="1035"/>
      <c r="O523" s="1034">
        <v>0</v>
      </c>
      <c r="P523" s="1035"/>
      <c r="Q523" s="1035"/>
      <c r="R523" s="1035"/>
      <c r="S523" s="1035"/>
      <c r="T523" s="1028">
        <v>0</v>
      </c>
      <c r="U523" s="1029"/>
      <c r="V523" s="810" t="e">
        <f>J523/E523*100</f>
        <v>#DIV/0!</v>
      </c>
      <c r="W523" s="901"/>
      <c r="X523" s="901"/>
      <c r="Y523" s="471">
        <f>E523-J523</f>
        <v>0</v>
      </c>
      <c r="Z523" s="472"/>
      <c r="AA523" s="472"/>
      <c r="AB523" s="472"/>
      <c r="AC523" s="471">
        <f>J523-O523</f>
        <v>0</v>
      </c>
      <c r="AD523" s="472"/>
      <c r="AE523" s="472"/>
      <c r="AF523" s="472"/>
    </row>
    <row r="524" spans="1:32" s="16" customFormat="1" ht="16.5" customHeight="1" x14ac:dyDescent="0.2">
      <c r="A524" s="481" t="s">
        <v>205</v>
      </c>
      <c r="B524" s="1044"/>
      <c r="C524" s="1044"/>
      <c r="D524" s="1045"/>
      <c r="E524" s="823">
        <f>SUM(E522:I523)</f>
        <v>0</v>
      </c>
      <c r="F524" s="1046"/>
      <c r="G524" s="1046"/>
      <c r="H524" s="1046"/>
      <c r="I524" s="1047"/>
      <c r="J524" s="823">
        <f>SUM(J522:N523)</f>
        <v>0</v>
      </c>
      <c r="K524" s="1046"/>
      <c r="L524" s="1046"/>
      <c r="M524" s="1046"/>
      <c r="N524" s="1047"/>
      <c r="O524" s="823">
        <f>SUM(O522:S523)</f>
        <v>0</v>
      </c>
      <c r="P524" s="1046"/>
      <c r="Q524" s="1046"/>
      <c r="R524" s="1046"/>
      <c r="S524" s="1047"/>
      <c r="T524" s="1028">
        <v>0</v>
      </c>
      <c r="U524" s="1029"/>
      <c r="V524" s="810" t="e">
        <f>J524/E524*100</f>
        <v>#DIV/0!</v>
      </c>
      <c r="W524" s="901"/>
      <c r="X524" s="901"/>
      <c r="Y524" s="471">
        <f>E524-J524</f>
        <v>0</v>
      </c>
      <c r="Z524" s="472"/>
      <c r="AA524" s="472"/>
      <c r="AB524" s="472"/>
      <c r="AC524" s="471">
        <f>J524-O524</f>
        <v>0</v>
      </c>
      <c r="AD524" s="472"/>
      <c r="AE524" s="472"/>
      <c r="AF524" s="472"/>
    </row>
    <row r="525" spans="1:32" s="16" customFormat="1" ht="16.5" customHeight="1" x14ac:dyDescent="0.2">
      <c r="A525" s="14"/>
      <c r="B525" s="124"/>
      <c r="C525" s="124"/>
      <c r="D525" s="124"/>
      <c r="E525" s="130"/>
      <c r="F525" s="130"/>
      <c r="G525" s="130"/>
      <c r="H525" s="130"/>
      <c r="I525" s="131"/>
      <c r="J525" s="131"/>
      <c r="K525" s="131"/>
      <c r="L525" s="131"/>
      <c r="M525" s="131"/>
      <c r="N525" s="131"/>
      <c r="O525" s="131"/>
      <c r="P525" s="131"/>
      <c r="Q525" s="131"/>
      <c r="R525" s="131"/>
      <c r="S525" s="131"/>
      <c r="T525" s="131"/>
      <c r="U525" s="131"/>
      <c r="V525" s="23"/>
    </row>
    <row r="526" spans="1:32" s="16" customFormat="1" ht="16.5" customHeight="1" x14ac:dyDescent="0.2">
      <c r="A526" s="14"/>
      <c r="B526" s="124"/>
      <c r="C526" s="124"/>
      <c r="D526" s="124">
        <f>D517+1</f>
        <v>9</v>
      </c>
      <c r="E526" s="1050" t="s">
        <v>298</v>
      </c>
      <c r="F526" s="1050"/>
      <c r="G526" s="1050"/>
      <c r="H526" s="1050"/>
      <c r="I526" s="1050"/>
      <c r="J526" s="1050"/>
      <c r="K526" s="1050"/>
      <c r="L526" s="1050"/>
      <c r="M526" s="1050"/>
      <c r="N526" s="1050"/>
      <c r="O526" s="1050"/>
      <c r="P526" s="1050"/>
      <c r="Q526" s="1050"/>
      <c r="R526" s="1050"/>
      <c r="S526" s="1050"/>
      <c r="T526" s="1050"/>
      <c r="U526" s="1050"/>
      <c r="V526" s="23"/>
    </row>
    <row r="527" spans="1:32" s="16" customFormat="1" ht="63.75" customHeight="1" x14ac:dyDescent="0.2">
      <c r="A527" s="14"/>
      <c r="B527" s="124"/>
      <c r="C527" s="124"/>
      <c r="D527" s="124"/>
      <c r="E527" s="408" t="str">
        <f>"Realisasi Belanja Modal Alat Kedokteran TA "&amp;'[1]2.ISIAN DATA SKPD'!D11&amp;" sebesar Rp. 0, atau mencapai sebesar0% dari anggaran sebesar Rp. 0, kurang dari anggaran sebesar Rp. 0. Bila dibandingkan dengan realisasi TA "&amp;'[1]2.ISIAN DATA SKPD'!D12&amp;" naik sebesar Rp. 0 atau 0%."</f>
        <v>Realisasi Belanja Modal Alat Kedokteran TA 2018 sebesar Rp. 0, atau mencapai sebesar0% dari anggaran sebesar Rp. 0, kurang dari anggaran sebesar Rp. 0. Bila dibandingkan dengan realisasi TA 2017 naik sebesar Rp. 0 atau 0%.</v>
      </c>
      <c r="F527" s="408"/>
      <c r="G527" s="408"/>
      <c r="H527" s="408"/>
      <c r="I527" s="408"/>
      <c r="J527" s="408"/>
      <c r="K527" s="408"/>
      <c r="L527" s="408"/>
      <c r="M527" s="408"/>
      <c r="N527" s="408"/>
      <c r="O527" s="408"/>
      <c r="P527" s="408"/>
      <c r="Q527" s="408"/>
      <c r="R527" s="408"/>
      <c r="S527" s="408"/>
      <c r="T527" s="408"/>
      <c r="U527" s="408"/>
      <c r="V527" s="23"/>
    </row>
    <row r="528" spans="1:32" s="16" customFormat="1" ht="32.25" customHeight="1" x14ac:dyDescent="0.2">
      <c r="A528" s="14"/>
      <c r="B528" s="124"/>
      <c r="C528" s="124"/>
      <c r="D528" s="124"/>
      <c r="E528" s="408" t="s">
        <v>299</v>
      </c>
      <c r="F528" s="408"/>
      <c r="G528" s="408"/>
      <c r="H528" s="408"/>
      <c r="I528" s="408"/>
      <c r="J528" s="408"/>
      <c r="K528" s="408"/>
      <c r="L528" s="408"/>
      <c r="M528" s="408"/>
      <c r="N528" s="408"/>
      <c r="O528" s="408"/>
      <c r="P528" s="408"/>
      <c r="Q528" s="408"/>
      <c r="R528" s="408"/>
      <c r="S528" s="408"/>
      <c r="T528" s="408"/>
      <c r="U528" s="408"/>
      <c r="V528" s="23"/>
    </row>
    <row r="529" spans="1:32" s="16" customFormat="1" ht="18.75" customHeight="1" x14ac:dyDescent="0.2">
      <c r="A529" s="14"/>
      <c r="B529" s="124"/>
      <c r="C529" s="124"/>
      <c r="D529" s="124"/>
      <c r="E529" s="37"/>
      <c r="F529" s="37"/>
      <c r="G529" s="37"/>
      <c r="H529" s="37"/>
      <c r="I529" s="37"/>
      <c r="J529" s="37"/>
      <c r="K529" s="37"/>
      <c r="L529" s="37"/>
      <c r="M529" s="37"/>
      <c r="N529" s="37"/>
      <c r="O529" s="37"/>
      <c r="P529" s="37"/>
      <c r="Q529" s="37"/>
      <c r="R529" s="37"/>
      <c r="S529" s="37"/>
      <c r="T529" s="37"/>
      <c r="U529" s="37"/>
      <c r="V529" s="23"/>
    </row>
    <row r="530" spans="1:32" s="16" customFormat="1" ht="30.75" customHeight="1" x14ac:dyDescent="0.2">
      <c r="A530" s="1020" t="s">
        <v>300</v>
      </c>
      <c r="B530" s="1021"/>
      <c r="C530" s="1021"/>
      <c r="D530" s="1021"/>
      <c r="E530" s="1032" t="str">
        <f>E521</f>
        <v>Anggaran</v>
      </c>
      <c r="F530" s="1032"/>
      <c r="G530" s="1032"/>
      <c r="H530" s="1032"/>
      <c r="I530" s="1032"/>
      <c r="J530" s="1032" t="str">
        <f>J521</f>
        <v>Realisasi                      TA 2018</v>
      </c>
      <c r="K530" s="1032"/>
      <c r="L530" s="1032"/>
      <c r="M530" s="1032"/>
      <c r="N530" s="1032"/>
      <c r="O530" s="1032" t="str">
        <f>O521</f>
        <v>Realisasi                   TA 2017</v>
      </c>
      <c r="P530" s="1032"/>
      <c r="Q530" s="1032"/>
      <c r="R530" s="1032"/>
      <c r="S530" s="1032"/>
      <c r="T530" s="1051" t="s">
        <v>247</v>
      </c>
      <c r="U530" s="1052"/>
      <c r="V530" s="780" t="s">
        <v>196</v>
      </c>
      <c r="W530" s="908"/>
      <c r="X530" s="908"/>
      <c r="Y530" s="892" t="s">
        <v>195</v>
      </c>
      <c r="Z530" s="472"/>
      <c r="AA530" s="472"/>
      <c r="AB530" s="472" t="s">
        <v>196</v>
      </c>
      <c r="AC530" s="892" t="s">
        <v>197</v>
      </c>
      <c r="AD530" s="472"/>
      <c r="AE530" s="472"/>
      <c r="AF530" s="472"/>
    </row>
    <row r="531" spans="1:32" s="16" customFormat="1" ht="18" customHeight="1" x14ac:dyDescent="0.2">
      <c r="A531" s="1048" t="s">
        <v>301</v>
      </c>
      <c r="B531" s="1048"/>
      <c r="C531" s="1048"/>
      <c r="D531" s="1048"/>
      <c r="E531" s="1034">
        <v>0</v>
      </c>
      <c r="F531" s="1035"/>
      <c r="G531" s="1035"/>
      <c r="H531" s="1035"/>
      <c r="I531" s="1035"/>
      <c r="J531" s="1034">
        <v>0</v>
      </c>
      <c r="K531" s="1035"/>
      <c r="L531" s="1035"/>
      <c r="M531" s="1035"/>
      <c r="N531" s="1035"/>
      <c r="O531" s="1034">
        <v>0</v>
      </c>
      <c r="P531" s="1035"/>
      <c r="Q531" s="1035"/>
      <c r="R531" s="1035"/>
      <c r="S531" s="1035"/>
      <c r="T531" s="1028">
        <v>0</v>
      </c>
      <c r="U531" s="1029"/>
      <c r="V531" s="810" t="e">
        <f>J531/E531*100</f>
        <v>#DIV/0!</v>
      </c>
      <c r="W531" s="901"/>
      <c r="X531" s="901"/>
      <c r="Y531" s="471">
        <f>E531-J531</f>
        <v>0</v>
      </c>
      <c r="Z531" s="472"/>
      <c r="AA531" s="472"/>
      <c r="AB531" s="472"/>
      <c r="AC531" s="471">
        <f>J531-O531</f>
        <v>0</v>
      </c>
      <c r="AD531" s="472"/>
      <c r="AE531" s="472"/>
      <c r="AF531" s="472"/>
    </row>
    <row r="532" spans="1:32" s="16" customFormat="1" ht="18" customHeight="1" x14ac:dyDescent="0.2">
      <c r="A532" s="1048"/>
      <c r="B532" s="1049"/>
      <c r="C532" s="1049"/>
      <c r="D532" s="1049"/>
      <c r="E532" s="1034"/>
      <c r="F532" s="1035"/>
      <c r="G532" s="1035"/>
      <c r="H532" s="1035"/>
      <c r="I532" s="1035"/>
      <c r="J532" s="1034"/>
      <c r="K532" s="1035"/>
      <c r="L532" s="1035"/>
      <c r="M532" s="1035"/>
      <c r="N532" s="1035"/>
      <c r="O532" s="1034"/>
      <c r="P532" s="1035"/>
      <c r="Q532" s="1035"/>
      <c r="R532" s="1035"/>
      <c r="S532" s="1035"/>
      <c r="T532" s="1028">
        <v>0</v>
      </c>
      <c r="U532" s="1029"/>
      <c r="V532" s="810" t="e">
        <f>J532/E532*100</f>
        <v>#DIV/0!</v>
      </c>
      <c r="W532" s="901"/>
      <c r="X532" s="901"/>
      <c r="Y532" s="471">
        <f>E532-J532</f>
        <v>0</v>
      </c>
      <c r="Z532" s="472"/>
      <c r="AA532" s="472"/>
      <c r="AB532" s="472"/>
      <c r="AC532" s="471">
        <f>J532-O532</f>
        <v>0</v>
      </c>
      <c r="AD532" s="472"/>
      <c r="AE532" s="472"/>
      <c r="AF532" s="472"/>
    </row>
    <row r="533" spans="1:32" s="16" customFormat="1" ht="16.5" customHeight="1" x14ac:dyDescent="0.2">
      <c r="A533" s="481" t="s">
        <v>205</v>
      </c>
      <c r="B533" s="1044"/>
      <c r="C533" s="1044"/>
      <c r="D533" s="1045"/>
      <c r="E533" s="823">
        <f>SUM(E531:I532)</f>
        <v>0</v>
      </c>
      <c r="F533" s="1046"/>
      <c r="G533" s="1046"/>
      <c r="H533" s="1046"/>
      <c r="I533" s="1047"/>
      <c r="J533" s="823">
        <f>SUM(J531:N532)</f>
        <v>0</v>
      </c>
      <c r="K533" s="1046"/>
      <c r="L533" s="1046"/>
      <c r="M533" s="1046"/>
      <c r="N533" s="1047"/>
      <c r="O533" s="823">
        <f>SUM(O531:S532)</f>
        <v>0</v>
      </c>
      <c r="P533" s="1046"/>
      <c r="Q533" s="1046"/>
      <c r="R533" s="1046"/>
      <c r="S533" s="1047"/>
      <c r="T533" s="1028">
        <v>0</v>
      </c>
      <c r="U533" s="1029"/>
      <c r="V533" s="810" t="e">
        <f>J533/E533*100</f>
        <v>#DIV/0!</v>
      </c>
      <c r="W533" s="901"/>
      <c r="X533" s="901"/>
      <c r="Y533" s="471">
        <f>E533-J533</f>
        <v>0</v>
      </c>
      <c r="Z533" s="472"/>
      <c r="AA533" s="472"/>
      <c r="AB533" s="472"/>
      <c r="AC533" s="471">
        <f>J533-O533</f>
        <v>0</v>
      </c>
      <c r="AD533" s="472"/>
      <c r="AE533" s="472"/>
      <c r="AF533" s="472"/>
    </row>
    <row r="534" spans="1:32" s="16" customFormat="1" ht="16.5" customHeight="1" x14ac:dyDescent="0.2">
      <c r="A534" s="14"/>
      <c r="B534" s="124"/>
      <c r="C534" s="124"/>
      <c r="D534" s="124"/>
      <c r="E534" s="124"/>
      <c r="F534" s="124"/>
      <c r="G534" s="124"/>
      <c r="H534" s="124"/>
      <c r="I534" s="100"/>
      <c r="J534" s="125"/>
      <c r="K534" s="125"/>
      <c r="L534" s="125"/>
      <c r="M534" s="125"/>
      <c r="N534" s="125"/>
      <c r="O534" s="125"/>
      <c r="P534" s="125"/>
      <c r="Q534" s="125"/>
      <c r="R534" s="125"/>
      <c r="S534" s="125"/>
      <c r="T534" s="126"/>
      <c r="U534" s="126"/>
      <c r="V534" s="23"/>
    </row>
    <row r="535" spans="1:32" s="16" customFormat="1" ht="16.5" customHeight="1" x14ac:dyDescent="0.2">
      <c r="A535" s="14"/>
      <c r="B535" s="23"/>
      <c r="D535" s="54" t="s">
        <v>170</v>
      </c>
      <c r="E535" s="54" t="s">
        <v>302</v>
      </c>
      <c r="F535" s="23"/>
      <c r="G535" s="23"/>
      <c r="H535" s="23"/>
      <c r="I535" s="23"/>
      <c r="J535" s="23"/>
      <c r="K535" s="23"/>
      <c r="L535" s="29"/>
      <c r="M535" s="29"/>
      <c r="N535" s="29"/>
      <c r="O535" s="29"/>
      <c r="P535" s="29"/>
      <c r="Q535" s="29"/>
      <c r="R535" s="29"/>
      <c r="S535" s="29"/>
      <c r="T535" s="20"/>
      <c r="U535" s="20"/>
      <c r="V535" s="23"/>
    </row>
    <row r="536" spans="1:32" s="16" customFormat="1" ht="93" customHeight="1" x14ac:dyDescent="0.2">
      <c r="A536" s="14"/>
      <c r="C536" s="29"/>
      <c r="E536" s="408" t="str">
        <f>"Realisasi Belanja Modal Gedung dan Bangunan TA "&amp;'[1]2.ISIAN DATA SKPD'!D11&amp;" sebesar Rp. "&amp;FIXED(J543)&amp;", atau mencapai sebesar "&amp;FIXED(V543)&amp;"% dari anggaran sebesar Rp. "&amp;FIXED(D543)&amp;", kurang dari anggaran sebesar Rp. "&amp;FIXED(Y543)&amp;". Bila dibandingkan dengan realisasi TA "&amp;'[1]2.ISIAN DATA SKPD'!D12&amp;" naik sebesar Rp. "&amp;FIXED(AC543)&amp;" atau "&amp;FIXED(T543)&amp;"% "</f>
        <v xml:space="preserve">Realisasi Belanja Modal Gedung dan Bangunan TA 2018 sebesar Rp. 2.182.568.000,00, atau mencapai sebesar 99,21% dari anggaran sebesar Rp. 2.200.000.000,00, kurang dari anggaran sebesar Rp. -2.182.568.000,00. Bila dibandingkan dengan realisasi TA 2017 naik sebesar Rp. 2.182.568.000,00 atau 100,00% </v>
      </c>
      <c r="F536" s="408"/>
      <c r="G536" s="408"/>
      <c r="H536" s="408"/>
      <c r="I536" s="408"/>
      <c r="J536" s="408"/>
      <c r="K536" s="408"/>
      <c r="L536" s="408"/>
      <c r="M536" s="408"/>
      <c r="N536" s="408"/>
      <c r="O536" s="408"/>
      <c r="P536" s="408"/>
      <c r="Q536" s="408"/>
      <c r="R536" s="408"/>
      <c r="S536" s="408"/>
      <c r="T536" s="408"/>
      <c r="U536" s="408"/>
      <c r="V536" s="23"/>
    </row>
    <row r="537" spans="1:32" s="16" customFormat="1" ht="35.25" customHeight="1" x14ac:dyDescent="0.2">
      <c r="A537" s="14"/>
      <c r="C537" s="132"/>
      <c r="D537" s="132"/>
      <c r="E537" s="1040" t="str">
        <f>"Perbandingan Realisasi Belanja Modal Gedung dan Bangunan                                          TA "&amp;'[1]2.ISIAN DATA SKPD'!D11&amp;" dan "&amp;'[1]2.ISIAN DATA SKPD'!D12&amp;""</f>
        <v>Perbandingan Realisasi Belanja Modal Gedung dan Bangunan                                          TA 2018 dan 2017</v>
      </c>
      <c r="F537" s="1040"/>
      <c r="G537" s="1040"/>
      <c r="H537" s="1040"/>
      <c r="I537" s="1040"/>
      <c r="J537" s="1040"/>
      <c r="K537" s="1040"/>
      <c r="L537" s="1040"/>
      <c r="M537" s="1040"/>
      <c r="N537" s="1040"/>
      <c r="O537" s="1040"/>
      <c r="P537" s="1040"/>
      <c r="Q537" s="1040"/>
      <c r="R537" s="1040"/>
      <c r="S537" s="1040"/>
      <c r="T537" s="1040"/>
      <c r="U537" s="1040"/>
      <c r="V537" s="23"/>
    </row>
    <row r="538" spans="1:32" s="16" customFormat="1" ht="36" customHeight="1" x14ac:dyDescent="0.2">
      <c r="A538" s="425" t="s">
        <v>13</v>
      </c>
      <c r="B538" s="426"/>
      <c r="C538" s="427"/>
      <c r="D538" s="1041" t="s">
        <v>192</v>
      </c>
      <c r="E538" s="1042"/>
      <c r="F538" s="1042"/>
      <c r="G538" s="1042"/>
      <c r="H538" s="1042"/>
      <c r="I538" s="1043"/>
      <c r="J538" s="1041" t="str">
        <f>J478</f>
        <v>Realisasi                      TA 2018</v>
      </c>
      <c r="K538" s="1042"/>
      <c r="L538" s="1042"/>
      <c r="M538" s="1042"/>
      <c r="N538" s="1043"/>
      <c r="O538" s="1041" t="str">
        <f>O478</f>
        <v>Realisasi                   TA 2017</v>
      </c>
      <c r="P538" s="1042"/>
      <c r="Q538" s="1042"/>
      <c r="R538" s="1042"/>
      <c r="S538" s="1043"/>
      <c r="T538" s="1023" t="s">
        <v>247</v>
      </c>
      <c r="U538" s="1024"/>
      <c r="V538" s="780" t="s">
        <v>196</v>
      </c>
      <c r="W538" s="908"/>
      <c r="X538" s="908"/>
      <c r="Y538" s="892" t="s">
        <v>195</v>
      </c>
      <c r="Z538" s="472"/>
      <c r="AA538" s="472"/>
      <c r="AB538" s="472" t="s">
        <v>196</v>
      </c>
      <c r="AC538" s="892" t="s">
        <v>197</v>
      </c>
      <c r="AD538" s="472"/>
      <c r="AE538" s="472"/>
      <c r="AF538" s="472"/>
    </row>
    <row r="539" spans="1:32" s="16" customFormat="1" ht="29.25" customHeight="1" x14ac:dyDescent="0.2">
      <c r="A539" s="1036" t="s">
        <v>303</v>
      </c>
      <c r="B539" s="1037" t="s">
        <v>303</v>
      </c>
      <c r="C539" s="1038" t="s">
        <v>303</v>
      </c>
      <c r="D539" s="832">
        <v>0</v>
      </c>
      <c r="E539" s="833"/>
      <c r="F539" s="833"/>
      <c r="G539" s="833"/>
      <c r="H539" s="833"/>
      <c r="I539" s="834"/>
      <c r="J539" s="832">
        <v>0</v>
      </c>
      <c r="K539" s="833"/>
      <c r="L539" s="833"/>
      <c r="M539" s="833"/>
      <c r="N539" s="833"/>
      <c r="O539" s="832">
        <v>0</v>
      </c>
      <c r="P539" s="833"/>
      <c r="Q539" s="833"/>
      <c r="R539" s="833"/>
      <c r="S539" s="833"/>
      <c r="T539" s="1028">
        <v>0</v>
      </c>
      <c r="U539" s="1029"/>
      <c r="V539" s="810" t="e">
        <f>J539/D539*100</f>
        <v>#DIV/0!</v>
      </c>
      <c r="W539" s="901"/>
      <c r="X539" s="901"/>
      <c r="Y539" s="471">
        <f>E539-J539</f>
        <v>0</v>
      </c>
      <c r="Z539" s="472"/>
      <c r="AA539" s="472"/>
      <c r="AB539" s="472"/>
      <c r="AC539" s="471">
        <f>J539-O539</f>
        <v>0</v>
      </c>
      <c r="AD539" s="472"/>
      <c r="AE539" s="472"/>
      <c r="AF539" s="472"/>
    </row>
    <row r="540" spans="1:32" s="16" customFormat="1" ht="32.25" customHeight="1" x14ac:dyDescent="0.2">
      <c r="A540" s="1039" t="s">
        <v>304</v>
      </c>
      <c r="B540" s="1037" t="s">
        <v>305</v>
      </c>
      <c r="C540" s="1038" t="s">
        <v>305</v>
      </c>
      <c r="D540" s="832">
        <v>200000000</v>
      </c>
      <c r="E540" s="833"/>
      <c r="F540" s="833"/>
      <c r="G540" s="833"/>
      <c r="H540" s="833"/>
      <c r="I540" s="834"/>
      <c r="J540" s="832">
        <v>199212000</v>
      </c>
      <c r="K540" s="833"/>
      <c r="L540" s="833"/>
      <c r="M540" s="833"/>
      <c r="N540" s="833"/>
      <c r="O540" s="832">
        <v>0</v>
      </c>
      <c r="P540" s="833"/>
      <c r="Q540" s="833"/>
      <c r="R540" s="833"/>
      <c r="S540" s="833"/>
      <c r="T540" s="1028">
        <v>100</v>
      </c>
      <c r="U540" s="1029"/>
      <c r="V540" s="810">
        <f>J540/D540*100</f>
        <v>99.605999999999995</v>
      </c>
      <c r="W540" s="901"/>
      <c r="X540" s="901"/>
      <c r="Y540" s="471">
        <f>E540-J540</f>
        <v>-199212000</v>
      </c>
      <c r="Z540" s="472"/>
      <c r="AA540" s="472"/>
      <c r="AB540" s="472"/>
      <c r="AC540" s="471">
        <f>J540-O540</f>
        <v>199212000</v>
      </c>
      <c r="AD540" s="472"/>
      <c r="AE540" s="472"/>
      <c r="AF540" s="472"/>
    </row>
    <row r="541" spans="1:32" s="16" customFormat="1" ht="33" customHeight="1" x14ac:dyDescent="0.2">
      <c r="A541" s="1036" t="s">
        <v>306</v>
      </c>
      <c r="B541" s="1037" t="s">
        <v>306</v>
      </c>
      <c r="C541" s="1038" t="s">
        <v>306</v>
      </c>
      <c r="D541" s="832">
        <v>0</v>
      </c>
      <c r="E541" s="833"/>
      <c r="F541" s="833"/>
      <c r="G541" s="833"/>
      <c r="H541" s="833"/>
      <c r="I541" s="834"/>
      <c r="J541" s="832">
        <v>0</v>
      </c>
      <c r="K541" s="833"/>
      <c r="L541" s="833"/>
      <c r="M541" s="833"/>
      <c r="N541" s="833"/>
      <c r="O541" s="832">
        <v>0</v>
      </c>
      <c r="P541" s="833"/>
      <c r="Q541" s="833"/>
      <c r="R541" s="833"/>
      <c r="S541" s="833"/>
      <c r="T541" s="1028">
        <v>0</v>
      </c>
      <c r="U541" s="1029"/>
      <c r="V541" s="810" t="e">
        <f>J541/D541*100</f>
        <v>#DIV/0!</v>
      </c>
      <c r="W541" s="901"/>
      <c r="X541" s="901"/>
      <c r="Y541" s="471">
        <f>E541-J541</f>
        <v>0</v>
      </c>
      <c r="Z541" s="472"/>
      <c r="AA541" s="472"/>
      <c r="AB541" s="472"/>
      <c r="AC541" s="471">
        <f>J541-O541</f>
        <v>0</v>
      </c>
      <c r="AD541" s="472"/>
      <c r="AE541" s="472"/>
      <c r="AF541" s="472"/>
    </row>
    <row r="542" spans="1:32" s="16" customFormat="1" ht="29.25" customHeight="1" x14ac:dyDescent="0.2">
      <c r="A542" s="1036" t="s">
        <v>307</v>
      </c>
      <c r="B542" s="1037" t="s">
        <v>307</v>
      </c>
      <c r="C542" s="1038" t="s">
        <v>307</v>
      </c>
      <c r="D542" s="832">
        <v>2000000000</v>
      </c>
      <c r="E542" s="833"/>
      <c r="F542" s="833"/>
      <c r="G542" s="833"/>
      <c r="H542" s="833"/>
      <c r="I542" s="834"/>
      <c r="J542" s="832">
        <v>1983356000</v>
      </c>
      <c r="K542" s="833"/>
      <c r="L542" s="833"/>
      <c r="M542" s="833"/>
      <c r="N542" s="833"/>
      <c r="O542" s="832">
        <v>0</v>
      </c>
      <c r="P542" s="833"/>
      <c r="Q542" s="833"/>
      <c r="R542" s="833"/>
      <c r="S542" s="833"/>
      <c r="T542" s="1028">
        <v>100</v>
      </c>
      <c r="U542" s="1029"/>
      <c r="V542" s="810">
        <f>J542/D542*100</f>
        <v>99.1678</v>
      </c>
      <c r="W542" s="901"/>
      <c r="X542" s="901"/>
      <c r="Y542" s="471">
        <f>E542-J542</f>
        <v>-1983356000</v>
      </c>
      <c r="Z542" s="472"/>
      <c r="AA542" s="472"/>
      <c r="AB542" s="472"/>
      <c r="AC542" s="471">
        <f>J542-O542</f>
        <v>1983356000</v>
      </c>
      <c r="AD542" s="472"/>
      <c r="AE542" s="472"/>
      <c r="AF542" s="472"/>
    </row>
    <row r="543" spans="1:32" s="16" customFormat="1" ht="22.5" customHeight="1" x14ac:dyDescent="0.2">
      <c r="A543" s="497" t="s">
        <v>205</v>
      </c>
      <c r="B543" s="498"/>
      <c r="C543" s="499"/>
      <c r="D543" s="823">
        <f>SUM(D539:I542)</f>
        <v>2200000000</v>
      </c>
      <c r="E543" s="824"/>
      <c r="F543" s="824"/>
      <c r="G543" s="824"/>
      <c r="H543" s="824"/>
      <c r="I543" s="825"/>
      <c r="J543" s="823">
        <f>SUM(J539:N542)</f>
        <v>2182568000</v>
      </c>
      <c r="K543" s="824"/>
      <c r="L543" s="824"/>
      <c r="M543" s="824"/>
      <c r="N543" s="824"/>
      <c r="O543" s="823">
        <f>SUM(O539:S542)</f>
        <v>0</v>
      </c>
      <c r="P543" s="824"/>
      <c r="Q543" s="824"/>
      <c r="R543" s="824"/>
      <c r="S543" s="824"/>
      <c r="T543" s="1028">
        <v>100</v>
      </c>
      <c r="U543" s="1029"/>
      <c r="V543" s="810">
        <f>J543/D543*100</f>
        <v>99.207636363636368</v>
      </c>
      <c r="W543" s="901"/>
      <c r="X543" s="901"/>
      <c r="Y543" s="471">
        <f>E543-J543</f>
        <v>-2182568000</v>
      </c>
      <c r="Z543" s="472"/>
      <c r="AA543" s="472"/>
      <c r="AB543" s="472"/>
      <c r="AC543" s="471">
        <f>J543-O543</f>
        <v>2182568000</v>
      </c>
      <c r="AD543" s="472"/>
      <c r="AE543" s="472"/>
      <c r="AF543" s="472"/>
    </row>
    <row r="544" spans="1:32" s="16" customFormat="1" ht="12" customHeight="1" x14ac:dyDescent="0.2">
      <c r="A544" s="14"/>
      <c r="B544" s="63"/>
      <c r="C544" s="63"/>
      <c r="D544" s="63"/>
      <c r="E544" s="63"/>
      <c r="F544" s="63"/>
      <c r="G544" s="63"/>
      <c r="H544" s="63"/>
      <c r="I544" s="63"/>
      <c r="J544" s="133"/>
      <c r="K544" s="133"/>
      <c r="L544" s="133"/>
      <c r="M544" s="133"/>
      <c r="N544" s="133"/>
      <c r="O544" s="133"/>
      <c r="P544" s="133"/>
      <c r="Q544" s="133"/>
      <c r="R544" s="133"/>
      <c r="S544" s="133"/>
      <c r="T544" s="134"/>
      <c r="U544" s="134"/>
      <c r="V544" s="23"/>
    </row>
    <row r="545" spans="1:37" s="16" customFormat="1" ht="92.25" customHeight="1" x14ac:dyDescent="0.2">
      <c r="A545" s="14"/>
      <c r="B545" s="63"/>
      <c r="C545" s="63"/>
      <c r="D545" s="402" t="s">
        <v>308</v>
      </c>
      <c r="E545" s="402"/>
      <c r="F545" s="402"/>
      <c r="G545" s="402"/>
      <c r="H545" s="402"/>
      <c r="I545" s="402"/>
      <c r="J545" s="402"/>
      <c r="K545" s="402"/>
      <c r="L545" s="402"/>
      <c r="M545" s="402"/>
      <c r="N545" s="402"/>
      <c r="O545" s="402"/>
      <c r="P545" s="402"/>
      <c r="Q545" s="402"/>
      <c r="R545" s="402"/>
      <c r="S545" s="402"/>
      <c r="T545" s="402"/>
      <c r="U545" s="402"/>
      <c r="V545" s="794"/>
      <c r="W545" s="794"/>
      <c r="X545" s="794"/>
      <c r="Y545" s="794"/>
      <c r="Z545" s="794"/>
      <c r="AA545" s="794"/>
      <c r="AB545" s="794"/>
      <c r="AC545" s="794"/>
      <c r="AD545" s="794"/>
      <c r="AE545" s="794"/>
      <c r="AF545" s="794"/>
      <c r="AG545" s="794"/>
      <c r="AH545" s="794"/>
      <c r="AI545" s="794"/>
      <c r="AJ545" s="794"/>
      <c r="AK545" s="794"/>
    </row>
    <row r="546" spans="1:37" s="16" customFormat="1" ht="92.25" customHeight="1" x14ac:dyDescent="0.2">
      <c r="A546" s="14"/>
      <c r="B546" s="63"/>
      <c r="C546" s="63"/>
      <c r="D546" s="97"/>
      <c r="E546" s="97"/>
      <c r="F546" s="97"/>
      <c r="G546" s="97"/>
      <c r="H546" s="97"/>
      <c r="I546" s="97"/>
      <c r="J546" s="97"/>
      <c r="K546" s="97"/>
      <c r="L546" s="97"/>
      <c r="M546" s="97"/>
      <c r="N546" s="97"/>
      <c r="O546" s="97"/>
      <c r="P546" s="97"/>
      <c r="Q546" s="97"/>
      <c r="R546" s="97"/>
      <c r="S546" s="97"/>
      <c r="T546" s="97"/>
      <c r="U546" s="97"/>
      <c r="V546" s="117"/>
      <c r="W546" s="117"/>
      <c r="X546" s="117"/>
      <c r="Y546" s="117"/>
      <c r="Z546" s="117"/>
      <c r="AA546" s="117"/>
      <c r="AB546" s="117"/>
      <c r="AC546" s="117"/>
      <c r="AD546" s="117"/>
      <c r="AE546" s="117"/>
      <c r="AF546" s="117"/>
      <c r="AG546" s="117"/>
      <c r="AH546" s="117"/>
      <c r="AI546" s="117"/>
      <c r="AJ546" s="117"/>
      <c r="AK546" s="117"/>
    </row>
    <row r="547" spans="1:37" s="16" customFormat="1" ht="12.75" customHeight="1" x14ac:dyDescent="0.2">
      <c r="A547" s="14"/>
      <c r="B547" s="63"/>
      <c r="C547" s="63"/>
      <c r="D547" s="117"/>
      <c r="E547" s="117"/>
      <c r="F547" s="117"/>
      <c r="G547" s="117"/>
      <c r="H547" s="117"/>
      <c r="I547" s="117"/>
      <c r="J547" s="117"/>
      <c r="K547" s="117"/>
      <c r="L547" s="117"/>
      <c r="M547" s="117"/>
      <c r="N547" s="117"/>
      <c r="O547" s="117"/>
      <c r="P547" s="117"/>
      <c r="Q547" s="117"/>
      <c r="R547" s="117"/>
      <c r="S547" s="117"/>
      <c r="T547" s="117"/>
      <c r="U547" s="37"/>
      <c r="V547" s="117"/>
      <c r="W547" s="117"/>
      <c r="X547" s="117"/>
      <c r="Y547" s="117"/>
      <c r="Z547" s="117"/>
      <c r="AA547" s="117"/>
      <c r="AB547" s="117"/>
      <c r="AC547" s="117"/>
      <c r="AD547" s="117"/>
      <c r="AE547" s="117"/>
      <c r="AF547" s="117"/>
      <c r="AG547" s="117"/>
      <c r="AH547" s="117"/>
      <c r="AI547" s="117"/>
      <c r="AJ547" s="117"/>
      <c r="AK547" s="117"/>
    </row>
    <row r="548" spans="1:37" s="16" customFormat="1" ht="22.5" customHeight="1" x14ac:dyDescent="0.2">
      <c r="A548" s="14"/>
      <c r="B548" s="23"/>
      <c r="D548" s="54" t="s">
        <v>175</v>
      </c>
      <c r="E548" s="54" t="s">
        <v>309</v>
      </c>
      <c r="F548" s="54"/>
      <c r="G548" s="54"/>
      <c r="H548" s="54"/>
      <c r="I548" s="54"/>
      <c r="J548" s="54"/>
      <c r="K548" s="54"/>
      <c r="L548" s="135"/>
      <c r="M548" s="135"/>
      <c r="N548" s="135"/>
      <c r="O548" s="135"/>
      <c r="P548" s="135"/>
      <c r="Q548" s="29"/>
      <c r="R548" s="29"/>
      <c r="S548" s="29"/>
      <c r="T548" s="20"/>
      <c r="U548" s="20"/>
      <c r="V548" s="23"/>
    </row>
    <row r="549" spans="1:37" s="16" customFormat="1" ht="108" customHeight="1" x14ac:dyDescent="0.2">
      <c r="A549" s="14"/>
      <c r="C549" s="29"/>
      <c r="E549" s="408" t="str">
        <f>"Realisasi Belanja Modal Jalan Irigasi dan Jaringan TA "&amp;'[1]2.ISIAN DATA SKPD'!D11&amp;" adalah sebesar Rp. "&amp;FIXED(J555)&amp;", atau sebesar "&amp;FIXED(V555)&amp;"% dari anggaran sebesar Rp. "&amp;FIXED(E555)&amp;", atau kurang dari anggaran sebesar Rp. "&amp;FIXED(Y555)&amp;". Realisasi belanja modal jalan irigasi dan jaringan tersebut mengalami kenaikan/penurunan sebesar  "&amp;FIXED(T555)&amp;"% bila dibandingkan dengan realisasi TA "&amp;'[1]2.ISIAN DATA SKPD'!D12&amp;" atau sebesar Rp. "&amp;FIXED(AC555)&amp;"."</f>
        <v>Realisasi Belanja Modal Jalan Irigasi dan Jaringan TA 2018 adalah sebesar Rp. 293.128.000,00, atau sebesar 99,57% dari anggaran sebesar Rp. 294.400.000,00, atau kurang dari anggaran sebesar Rp. 1.272.000,00. Realisasi belanja modal jalan irigasi dan jaringan tersebut mengalami kenaikan/penurunan sebesar  32,00% bila dibandingkan dengan realisasi TA 2017 atau sebesar Rp. 93.795.000,00.</v>
      </c>
      <c r="F549" s="408"/>
      <c r="G549" s="408"/>
      <c r="H549" s="408"/>
      <c r="I549" s="408"/>
      <c r="J549" s="408"/>
      <c r="K549" s="408"/>
      <c r="L549" s="408"/>
      <c r="M549" s="408"/>
      <c r="N549" s="408"/>
      <c r="O549" s="408"/>
      <c r="P549" s="408"/>
      <c r="Q549" s="408"/>
      <c r="R549" s="408"/>
      <c r="S549" s="408"/>
      <c r="T549" s="408"/>
      <c r="U549" s="408"/>
      <c r="V549" s="23"/>
    </row>
    <row r="550" spans="1:37" s="16" customFormat="1" ht="40.5" customHeight="1" x14ac:dyDescent="0.2">
      <c r="A550" s="14"/>
      <c r="B550" s="1031" t="str">
        <f>"Perbandingan Realisasi Belanja Modal Jalan, Irigasi dan Jaringan                           TA "&amp;'[1]2.ISIAN DATA SKPD'!D11&amp;" dan "&amp;'[1]2.ISIAN DATA SKPD'!D12&amp;""</f>
        <v>Perbandingan Realisasi Belanja Modal Jalan, Irigasi dan Jaringan                           TA 2018 dan 2017</v>
      </c>
      <c r="C550" s="1031"/>
      <c r="D550" s="1031"/>
      <c r="E550" s="1031"/>
      <c r="F550" s="1031"/>
      <c r="G550" s="1031"/>
      <c r="H550" s="1031"/>
      <c r="I550" s="1031"/>
      <c r="J550" s="1031"/>
      <c r="K550" s="1031"/>
      <c r="L550" s="1031"/>
      <c r="M550" s="1031"/>
      <c r="N550" s="1031"/>
      <c r="O550" s="1031"/>
      <c r="P550" s="1031"/>
      <c r="Q550" s="1031"/>
      <c r="R550" s="1031"/>
      <c r="S550" s="1031"/>
      <c r="T550" s="1031"/>
      <c r="U550" s="1031"/>
      <c r="V550" s="23"/>
    </row>
    <row r="551" spans="1:37" s="16" customFormat="1" ht="36" customHeight="1" x14ac:dyDescent="0.2">
      <c r="A551" s="1032" t="s">
        <v>310</v>
      </c>
      <c r="B551" s="1032"/>
      <c r="C551" s="1032"/>
      <c r="D551" s="1032"/>
      <c r="E551" s="428" t="s">
        <v>192</v>
      </c>
      <c r="F551" s="428"/>
      <c r="G551" s="428"/>
      <c r="H551" s="428"/>
      <c r="I551" s="428"/>
      <c r="J551" s="1020" t="str">
        <f>J538</f>
        <v>Realisasi                      TA 2018</v>
      </c>
      <c r="K551" s="1021"/>
      <c r="L551" s="1021"/>
      <c r="M551" s="1021"/>
      <c r="N551" s="1022"/>
      <c r="O551" s="1020" t="str">
        <f>O538</f>
        <v>Realisasi                   TA 2017</v>
      </c>
      <c r="P551" s="1021"/>
      <c r="Q551" s="1021"/>
      <c r="R551" s="1021"/>
      <c r="S551" s="1022"/>
      <c r="T551" s="1023" t="s">
        <v>247</v>
      </c>
      <c r="U551" s="1024"/>
      <c r="V551" s="780" t="s">
        <v>196</v>
      </c>
      <c r="W551" s="908"/>
      <c r="X551" s="908"/>
      <c r="Y551" s="892" t="s">
        <v>195</v>
      </c>
      <c r="Z551" s="472"/>
      <c r="AA551" s="472"/>
      <c r="AB551" s="472" t="s">
        <v>196</v>
      </c>
      <c r="AC551" s="892" t="s">
        <v>197</v>
      </c>
      <c r="AD551" s="472"/>
      <c r="AE551" s="472"/>
      <c r="AF551" s="472"/>
    </row>
    <row r="552" spans="1:37" s="16" customFormat="1" ht="22.5" customHeight="1" x14ac:dyDescent="0.2">
      <c r="A552" s="1033" t="str">
        <f>'[1]3.LRA'!C88</f>
        <v>Jalan</v>
      </c>
      <c r="B552" s="1033"/>
      <c r="C552" s="1033"/>
      <c r="D552" s="1033"/>
      <c r="E552" s="1034">
        <v>294400000</v>
      </c>
      <c r="F552" s="1035"/>
      <c r="G552" s="1035"/>
      <c r="H552" s="1035"/>
      <c r="I552" s="1035"/>
      <c r="J552" s="1034">
        <v>293128000</v>
      </c>
      <c r="K552" s="1035"/>
      <c r="L552" s="1035"/>
      <c r="M552" s="1035"/>
      <c r="N552" s="1035"/>
      <c r="O552" s="1034">
        <v>199333000</v>
      </c>
      <c r="P552" s="1035"/>
      <c r="Q552" s="1035"/>
      <c r="R552" s="1035"/>
      <c r="S552" s="1035"/>
      <c r="T552" s="1013">
        <f>SUM((J552-O552)/J552)*100</f>
        <v>31.997966758549168</v>
      </c>
      <c r="U552" s="1014"/>
      <c r="V552" s="810">
        <f>J552/E552*100</f>
        <v>99.567934782608688</v>
      </c>
      <c r="W552" s="901"/>
      <c r="X552" s="901"/>
      <c r="Y552" s="471">
        <f>E552-J552</f>
        <v>1272000</v>
      </c>
      <c r="Z552" s="472"/>
      <c r="AA552" s="472"/>
      <c r="AB552" s="472"/>
      <c r="AC552" s="471">
        <f>J552-O552</f>
        <v>93795000</v>
      </c>
      <c r="AD552" s="472"/>
      <c r="AE552" s="472"/>
      <c r="AF552" s="472"/>
    </row>
    <row r="553" spans="1:37" s="16" customFormat="1" ht="19.5" customHeight="1" x14ac:dyDescent="0.2">
      <c r="A553" s="1033" t="str">
        <f>'[1]3.LRA'!C89</f>
        <v>Irigasi</v>
      </c>
      <c r="B553" s="1033"/>
      <c r="C553" s="1033"/>
      <c r="D553" s="1033"/>
      <c r="E553" s="1034">
        <f>'[1]3.LRA'!D89</f>
        <v>0</v>
      </c>
      <c r="F553" s="1035"/>
      <c r="G553" s="1035"/>
      <c r="H553" s="1035"/>
      <c r="I553" s="1035"/>
      <c r="J553" s="1034">
        <f>'[1]3.LRA'!E89</f>
        <v>0</v>
      </c>
      <c r="K553" s="1035"/>
      <c r="L553" s="1035"/>
      <c r="M553" s="1035"/>
      <c r="N553" s="1035"/>
      <c r="O553" s="1034">
        <f>'[1]3.LRA'!I89</f>
        <v>0</v>
      </c>
      <c r="P553" s="1035"/>
      <c r="Q553" s="1035"/>
      <c r="R553" s="1035"/>
      <c r="S553" s="1035"/>
      <c r="T553" s="1013">
        <v>0</v>
      </c>
      <c r="U553" s="1014"/>
      <c r="V553" s="810" t="e">
        <f>J553/E553*100</f>
        <v>#DIV/0!</v>
      </c>
      <c r="W553" s="901"/>
      <c r="X553" s="901"/>
      <c r="Y553" s="471">
        <f>E553-J553</f>
        <v>0</v>
      </c>
      <c r="Z553" s="472"/>
      <c r="AA553" s="472"/>
      <c r="AB553" s="472"/>
      <c r="AC553" s="471">
        <f>J553-O553</f>
        <v>0</v>
      </c>
      <c r="AD553" s="472"/>
      <c r="AE553" s="472"/>
      <c r="AF553" s="472"/>
    </row>
    <row r="554" spans="1:37" s="16" customFormat="1" ht="19.5" customHeight="1" x14ac:dyDescent="0.2">
      <c r="A554" s="1033" t="str">
        <f>'[1]3.LRA'!C90</f>
        <v>Jembatan</v>
      </c>
      <c r="B554" s="1033"/>
      <c r="C554" s="1033"/>
      <c r="D554" s="1033"/>
      <c r="E554" s="1034">
        <f>'[1]3.LRA'!D90</f>
        <v>0</v>
      </c>
      <c r="F554" s="1035"/>
      <c r="G554" s="1035"/>
      <c r="H554" s="1035"/>
      <c r="I554" s="1035"/>
      <c r="J554" s="1034">
        <f>'[1]3.LRA'!E90</f>
        <v>0</v>
      </c>
      <c r="K554" s="1035"/>
      <c r="L554" s="1035"/>
      <c r="M554" s="1035"/>
      <c r="N554" s="1035"/>
      <c r="O554" s="1034">
        <f>'[1]3.LRA'!I90</f>
        <v>0</v>
      </c>
      <c r="P554" s="1035"/>
      <c r="Q554" s="1035"/>
      <c r="R554" s="1035"/>
      <c r="S554" s="1035"/>
      <c r="T554" s="1013">
        <v>0</v>
      </c>
      <c r="U554" s="1014"/>
      <c r="V554" s="810" t="e">
        <f>J554/E554*100</f>
        <v>#DIV/0!</v>
      </c>
      <c r="W554" s="901"/>
      <c r="X554" s="901"/>
      <c r="Y554" s="471">
        <f>E554-J554</f>
        <v>0</v>
      </c>
      <c r="Z554" s="472"/>
      <c r="AA554" s="472"/>
      <c r="AB554" s="472"/>
      <c r="AC554" s="471">
        <f>J554-O554</f>
        <v>0</v>
      </c>
      <c r="AD554" s="472"/>
      <c r="AE554" s="472"/>
      <c r="AF554" s="472"/>
    </row>
    <row r="555" spans="1:37" s="16" customFormat="1" ht="22.5" customHeight="1" x14ac:dyDescent="0.2">
      <c r="A555" s="1025" t="s">
        <v>205</v>
      </c>
      <c r="B555" s="1026"/>
      <c r="C555" s="1026"/>
      <c r="D555" s="1027"/>
      <c r="E555" s="823">
        <f>SUM(E552:I554)</f>
        <v>294400000</v>
      </c>
      <c r="F555" s="824"/>
      <c r="G555" s="824"/>
      <c r="H555" s="824"/>
      <c r="I555" s="824"/>
      <c r="J555" s="823">
        <f>SUM(J552:N554)</f>
        <v>293128000</v>
      </c>
      <c r="K555" s="824"/>
      <c r="L555" s="824"/>
      <c r="M555" s="824"/>
      <c r="N555" s="824"/>
      <c r="O555" s="823">
        <f>SUM(O552:S554)</f>
        <v>199333000</v>
      </c>
      <c r="P555" s="824"/>
      <c r="Q555" s="824"/>
      <c r="R555" s="824"/>
      <c r="S555" s="824"/>
      <c r="T555" s="1013">
        <f>SUM((J555-O555)/J555)*100</f>
        <v>31.997966758549168</v>
      </c>
      <c r="U555" s="1014"/>
      <c r="V555" s="810">
        <f>J555/E555*100</f>
        <v>99.567934782608688</v>
      </c>
      <c r="W555" s="901"/>
      <c r="X555" s="901"/>
      <c r="Y555" s="471">
        <f>E555-J555</f>
        <v>1272000</v>
      </c>
      <c r="Z555" s="472"/>
      <c r="AA555" s="472"/>
      <c r="AB555" s="472"/>
      <c r="AC555" s="471">
        <f>J555-O555</f>
        <v>93795000</v>
      </c>
      <c r="AD555" s="472"/>
      <c r="AE555" s="472"/>
      <c r="AF555" s="472"/>
    </row>
    <row r="556" spans="1:37" s="16" customFormat="1" ht="43.5" customHeight="1" x14ac:dyDescent="0.2">
      <c r="A556" s="136"/>
      <c r="B556" s="136"/>
      <c r="C556" s="136"/>
      <c r="D556" s="136"/>
      <c r="E556" s="408" t="s">
        <v>311</v>
      </c>
      <c r="F556" s="408"/>
      <c r="G556" s="408"/>
      <c r="H556" s="408"/>
      <c r="I556" s="408"/>
      <c r="J556" s="408"/>
      <c r="K556" s="408"/>
      <c r="L556" s="408"/>
      <c r="M556" s="408"/>
      <c r="N556" s="408"/>
      <c r="O556" s="408"/>
      <c r="P556" s="408"/>
      <c r="Q556" s="408"/>
      <c r="R556" s="408"/>
      <c r="S556" s="408"/>
      <c r="T556" s="408"/>
      <c r="U556" s="408"/>
      <c r="V556" s="112"/>
      <c r="W556" s="112"/>
      <c r="X556" s="112"/>
      <c r="Y556" s="113"/>
      <c r="Z556" s="114"/>
      <c r="AA556" s="114"/>
      <c r="AB556" s="114"/>
      <c r="AC556" s="113"/>
      <c r="AD556" s="114"/>
      <c r="AE556" s="114"/>
      <c r="AF556" s="114"/>
    </row>
    <row r="557" spans="1:37" s="16" customFormat="1" ht="11.25" customHeight="1" x14ac:dyDescent="0.2">
      <c r="A557" s="14"/>
      <c r="B557" s="123"/>
      <c r="C557" s="123"/>
      <c r="D557" s="123"/>
      <c r="E557" s="123"/>
      <c r="F557" s="123"/>
      <c r="G557" s="123"/>
      <c r="H557" s="123"/>
      <c r="I557" s="123"/>
      <c r="J557" s="55"/>
      <c r="K557" s="55"/>
      <c r="L557" s="55"/>
      <c r="M557" s="55"/>
      <c r="N557" s="55"/>
      <c r="O557" s="55"/>
      <c r="P557" s="55"/>
      <c r="Q557" s="55"/>
      <c r="R557" s="55"/>
      <c r="S557" s="55"/>
      <c r="T557" s="137"/>
      <c r="U557" s="137"/>
      <c r="V557" s="576"/>
      <c r="W557" s="576"/>
      <c r="X557" s="576"/>
      <c r="Y557" s="578"/>
      <c r="Z557" s="579"/>
      <c r="AA557" s="579"/>
      <c r="AB557" s="579"/>
      <c r="AC557" s="578"/>
      <c r="AD557" s="579"/>
      <c r="AE557" s="579"/>
      <c r="AF557" s="579"/>
    </row>
    <row r="558" spans="1:37" s="16" customFormat="1" ht="22.5" customHeight="1" x14ac:dyDescent="0.2">
      <c r="A558" s="14"/>
      <c r="B558" s="23"/>
      <c r="D558" s="54" t="s">
        <v>183</v>
      </c>
      <c r="E558" s="54" t="s">
        <v>312</v>
      </c>
      <c r="F558" s="54"/>
      <c r="G558" s="54"/>
      <c r="H558" s="54"/>
      <c r="I558" s="54"/>
      <c r="J558" s="54"/>
      <c r="K558" s="54"/>
      <c r="L558" s="135"/>
      <c r="M558" s="135"/>
      <c r="N558" s="29"/>
      <c r="O558" s="29"/>
      <c r="P558" s="29"/>
      <c r="Q558" s="29"/>
      <c r="R558" s="29"/>
      <c r="S558" s="29"/>
      <c r="T558" s="20"/>
      <c r="U558" s="20"/>
      <c r="V558" s="23"/>
    </row>
    <row r="559" spans="1:37" s="16" customFormat="1" ht="81" customHeight="1" x14ac:dyDescent="0.2">
      <c r="A559" s="14"/>
      <c r="C559" s="29"/>
      <c r="E559" s="408" t="str">
        <f>"Realisasi Belanja Modal Aset Tetap Lainnya TA "&amp;'[1]2.ISIAN DATA SKPD'!D11&amp;" sebesar Rp. 0, atau mencapai sebesar 0% dari anggaran sebesar Rp. 0, atau kurang dari anggaran sebesar Rp. 0. Bila dibandingkan dengan realisasi TA "&amp;'[1]2.ISIAN DATA SKPD'!D12&amp;" naik sebesar Rp. 0 atau 0%."</f>
        <v>Realisasi Belanja Modal Aset Tetap Lainnya TA 2018 sebesar Rp. 0, atau mencapai sebesar 0% dari anggaran sebesar Rp. 0, atau kurang dari anggaran sebesar Rp. 0. Bila dibandingkan dengan realisasi TA 2017 naik sebesar Rp. 0 atau 0%.</v>
      </c>
      <c r="F559" s="408"/>
      <c r="G559" s="408"/>
      <c r="H559" s="408"/>
      <c r="I559" s="408"/>
      <c r="J559" s="408"/>
      <c r="K559" s="408"/>
      <c r="L559" s="408"/>
      <c r="M559" s="408"/>
      <c r="N559" s="408"/>
      <c r="O559" s="408"/>
      <c r="P559" s="408"/>
      <c r="Q559" s="408"/>
      <c r="R559" s="408"/>
      <c r="S559" s="408"/>
      <c r="T559" s="408"/>
      <c r="U559" s="408"/>
      <c r="V559" s="23"/>
    </row>
    <row r="560" spans="1:37" s="16" customFormat="1" ht="37.5" customHeight="1" x14ac:dyDescent="0.2">
      <c r="A560" s="14"/>
      <c r="B560" s="1031" t="str">
        <f>"Perbandingan Realisasi Belanja Modal Aset Tetap Lainnya                                           TA "&amp;'[1]2.ISIAN DATA SKPD'!D11&amp;" dan "&amp;'[1]2.ISIAN DATA SKPD'!D12&amp;""</f>
        <v>Perbandingan Realisasi Belanja Modal Aset Tetap Lainnya                                           TA 2018 dan 2017</v>
      </c>
      <c r="C560" s="1031"/>
      <c r="D560" s="1031"/>
      <c r="E560" s="1031"/>
      <c r="F560" s="1031"/>
      <c r="G560" s="1031"/>
      <c r="H560" s="1031"/>
      <c r="I560" s="1031"/>
      <c r="J560" s="1031"/>
      <c r="K560" s="1031"/>
      <c r="L560" s="1031"/>
      <c r="M560" s="1031"/>
      <c r="N560" s="1031"/>
      <c r="O560" s="1031"/>
      <c r="P560" s="1031"/>
      <c r="Q560" s="1031"/>
      <c r="R560" s="1031"/>
      <c r="S560" s="1031"/>
      <c r="T560" s="1031"/>
      <c r="U560" s="1031"/>
      <c r="V560" s="23"/>
    </row>
    <row r="561" spans="1:32" s="16" customFormat="1" ht="37.5" customHeight="1" x14ac:dyDescent="0.2">
      <c r="A561" s="1032" t="s">
        <v>14</v>
      </c>
      <c r="B561" s="1032"/>
      <c r="C561" s="1032"/>
      <c r="D561" s="1032"/>
      <c r="E561" s="427" t="s">
        <v>192</v>
      </c>
      <c r="F561" s="428"/>
      <c r="G561" s="428"/>
      <c r="H561" s="428"/>
      <c r="I561" s="428"/>
      <c r="J561" s="1020" t="str">
        <f>J551</f>
        <v>Realisasi                      TA 2018</v>
      </c>
      <c r="K561" s="1021"/>
      <c r="L561" s="1021"/>
      <c r="M561" s="1021"/>
      <c r="N561" s="1022"/>
      <c r="O561" s="1020" t="str">
        <f>O551</f>
        <v>Realisasi                   TA 2017</v>
      </c>
      <c r="P561" s="1021"/>
      <c r="Q561" s="1021"/>
      <c r="R561" s="1021"/>
      <c r="S561" s="1022"/>
      <c r="T561" s="1023" t="s">
        <v>247</v>
      </c>
      <c r="U561" s="1024"/>
      <c r="V561" s="780" t="s">
        <v>196</v>
      </c>
      <c r="W561" s="908"/>
      <c r="X561" s="908"/>
      <c r="Y561" s="892" t="s">
        <v>195</v>
      </c>
      <c r="Z561" s="472"/>
      <c r="AA561" s="472"/>
      <c r="AB561" s="472" t="s">
        <v>196</v>
      </c>
      <c r="AC561" s="892" t="s">
        <v>197</v>
      </c>
      <c r="AD561" s="472"/>
      <c r="AE561" s="472"/>
      <c r="AF561" s="472"/>
    </row>
    <row r="562" spans="1:32" s="16" customFormat="1" ht="18.75" customHeight="1" x14ac:dyDescent="0.2">
      <c r="A562" s="1030" t="str">
        <f>'[1]3.LRA'!C92</f>
        <v>- Pengadaan buku</v>
      </c>
      <c r="B562" s="1030"/>
      <c r="C562" s="1030"/>
      <c r="D562" s="1030"/>
      <c r="E562" s="832">
        <v>0</v>
      </c>
      <c r="F562" s="833"/>
      <c r="G562" s="833"/>
      <c r="H562" s="833"/>
      <c r="I562" s="833"/>
      <c r="J562" s="832">
        <v>0</v>
      </c>
      <c r="K562" s="833"/>
      <c r="L562" s="833"/>
      <c r="M562" s="833"/>
      <c r="N562" s="833"/>
      <c r="O562" s="832">
        <v>0</v>
      </c>
      <c r="P562" s="833"/>
      <c r="Q562" s="833"/>
      <c r="R562" s="833"/>
      <c r="S562" s="833"/>
      <c r="T562" s="1028">
        <v>0</v>
      </c>
      <c r="U562" s="1029"/>
      <c r="V562" s="810" t="e">
        <f>J562/E562*100</f>
        <v>#DIV/0!</v>
      </c>
      <c r="W562" s="901"/>
      <c r="X562" s="901"/>
      <c r="Y562" s="471">
        <f>E562-J562</f>
        <v>0</v>
      </c>
      <c r="Z562" s="472"/>
      <c r="AA562" s="472"/>
      <c r="AB562" s="472"/>
      <c r="AC562" s="471">
        <f>J562-O562</f>
        <v>0</v>
      </c>
      <c r="AD562" s="472"/>
      <c r="AE562" s="472"/>
      <c r="AF562" s="472"/>
    </row>
    <row r="563" spans="1:32" s="16" customFormat="1" ht="18.75" customHeight="1" x14ac:dyDescent="0.2">
      <c r="A563" s="1030" t="str">
        <f>'[1]3.LRA'!C93</f>
        <v>- Pengadaan Tanaman</v>
      </c>
      <c r="B563" s="1030"/>
      <c r="C563" s="1030"/>
      <c r="D563" s="1030"/>
      <c r="E563" s="832">
        <f>'[1]3.LRA'!D93</f>
        <v>0</v>
      </c>
      <c r="F563" s="833"/>
      <c r="G563" s="833"/>
      <c r="H563" s="833"/>
      <c r="I563" s="833"/>
      <c r="J563" s="832">
        <f>'[1]3.LRA'!E93</f>
        <v>0</v>
      </c>
      <c r="K563" s="833"/>
      <c r="L563" s="833"/>
      <c r="M563" s="833"/>
      <c r="N563" s="833"/>
      <c r="O563" s="832">
        <f>'[1]3.LRA'!I93</f>
        <v>0</v>
      </c>
      <c r="P563" s="833"/>
      <c r="Q563" s="833"/>
      <c r="R563" s="833"/>
      <c r="S563" s="833"/>
      <c r="T563" s="1028">
        <v>0</v>
      </c>
      <c r="U563" s="1029"/>
      <c r="V563" s="810" t="e">
        <f>J563/E563*100</f>
        <v>#DIV/0!</v>
      </c>
      <c r="W563" s="901"/>
      <c r="X563" s="901"/>
      <c r="Y563" s="471">
        <f>E563-J563</f>
        <v>0</v>
      </c>
      <c r="Z563" s="472"/>
      <c r="AA563" s="472"/>
      <c r="AB563" s="472"/>
      <c r="AC563" s="471">
        <f>J563-O563</f>
        <v>0</v>
      </c>
      <c r="AD563" s="472"/>
      <c r="AE563" s="472"/>
      <c r="AF563" s="472"/>
    </row>
    <row r="564" spans="1:32" s="16" customFormat="1" ht="18.75" customHeight="1" x14ac:dyDescent="0.2">
      <c r="A564" s="1030" t="str">
        <f>'[1]3.LRA'!C94</f>
        <v>- Pengadaan AT Renovasi</v>
      </c>
      <c r="B564" s="1030"/>
      <c r="C564" s="1030"/>
      <c r="D564" s="1030"/>
      <c r="E564" s="832">
        <f>'[1]3.LRA'!D94</f>
        <v>0</v>
      </c>
      <c r="F564" s="833"/>
      <c r="G564" s="833"/>
      <c r="H564" s="833"/>
      <c r="I564" s="833"/>
      <c r="J564" s="832">
        <f>'[1]3.LRA'!E94</f>
        <v>0</v>
      </c>
      <c r="K564" s="833"/>
      <c r="L564" s="833"/>
      <c r="M564" s="833"/>
      <c r="N564" s="833"/>
      <c r="O564" s="832">
        <f>'[1]3.LRA'!I94</f>
        <v>0</v>
      </c>
      <c r="P564" s="833"/>
      <c r="Q564" s="833"/>
      <c r="R564" s="833"/>
      <c r="S564" s="833"/>
      <c r="T564" s="1028">
        <v>0</v>
      </c>
      <c r="U564" s="1029"/>
      <c r="V564" s="810" t="e">
        <f>J564/E564*100</f>
        <v>#DIV/0!</v>
      </c>
      <c r="W564" s="901"/>
      <c r="X564" s="901"/>
      <c r="Y564" s="471">
        <f>E564-J564</f>
        <v>0</v>
      </c>
      <c r="Z564" s="472"/>
      <c r="AA564" s="472"/>
      <c r="AB564" s="472"/>
      <c r="AC564" s="471">
        <f>J564-O564</f>
        <v>0</v>
      </c>
      <c r="AD564" s="472"/>
      <c r="AE564" s="472"/>
      <c r="AF564" s="472"/>
    </row>
    <row r="565" spans="1:32" s="16" customFormat="1" ht="22.5" customHeight="1" x14ac:dyDescent="0.2">
      <c r="A565" s="1025" t="s">
        <v>205</v>
      </c>
      <c r="B565" s="1026"/>
      <c r="C565" s="1026"/>
      <c r="D565" s="1027"/>
      <c r="E565" s="823">
        <f>SUM(E562:I564)</f>
        <v>0</v>
      </c>
      <c r="F565" s="824"/>
      <c r="G565" s="824"/>
      <c r="H565" s="824"/>
      <c r="I565" s="824"/>
      <c r="J565" s="823">
        <f>SUM(J562:N564)</f>
        <v>0</v>
      </c>
      <c r="K565" s="824"/>
      <c r="L565" s="824"/>
      <c r="M565" s="824"/>
      <c r="N565" s="824"/>
      <c r="O565" s="823">
        <f>SUM(O562:S564)</f>
        <v>0</v>
      </c>
      <c r="P565" s="824"/>
      <c r="Q565" s="824"/>
      <c r="R565" s="824"/>
      <c r="S565" s="824"/>
      <c r="T565" s="1028">
        <v>0</v>
      </c>
      <c r="U565" s="1029"/>
      <c r="V565" s="810" t="e">
        <f>J565/E565*100</f>
        <v>#DIV/0!</v>
      </c>
      <c r="W565" s="901"/>
      <c r="X565" s="901"/>
      <c r="Y565" s="471">
        <f>E565-J565</f>
        <v>0</v>
      </c>
      <c r="Z565" s="472"/>
      <c r="AA565" s="472"/>
      <c r="AB565" s="472"/>
      <c r="AC565" s="471">
        <f>J565-O565</f>
        <v>0</v>
      </c>
      <c r="AD565" s="472"/>
      <c r="AE565" s="472"/>
      <c r="AF565" s="472"/>
    </row>
    <row r="566" spans="1:32" s="16" customFormat="1" ht="15.75" customHeight="1" x14ac:dyDescent="0.2">
      <c r="A566" s="14"/>
      <c r="B566" s="37"/>
      <c r="C566" s="37"/>
      <c r="D566" s="37"/>
      <c r="E566" s="37"/>
      <c r="F566" s="37"/>
      <c r="G566" s="37"/>
      <c r="H566" s="37"/>
      <c r="I566" s="37"/>
      <c r="J566" s="37"/>
      <c r="K566" s="37"/>
      <c r="L566" s="37"/>
      <c r="M566" s="37"/>
      <c r="N566" s="37"/>
      <c r="O566" s="37"/>
      <c r="P566" s="37"/>
      <c r="Q566" s="37"/>
      <c r="R566" s="37"/>
      <c r="S566" s="37"/>
      <c r="T566" s="37"/>
      <c r="U566" s="37"/>
      <c r="V566" s="23"/>
    </row>
    <row r="567" spans="1:32" s="16" customFormat="1" ht="23.25" customHeight="1" x14ac:dyDescent="0.2">
      <c r="A567" s="138"/>
      <c r="B567" s="139" t="s">
        <v>313</v>
      </c>
      <c r="C567" s="411" t="s">
        <v>314</v>
      </c>
      <c r="D567" s="411"/>
      <c r="E567" s="411"/>
      <c r="F567" s="411"/>
      <c r="G567" s="411"/>
      <c r="H567" s="411"/>
      <c r="I567" s="411"/>
      <c r="J567" s="411"/>
      <c r="K567" s="411"/>
      <c r="L567" s="411"/>
      <c r="M567" s="411"/>
      <c r="N567" s="411"/>
      <c r="O567" s="411"/>
      <c r="P567" s="411"/>
      <c r="Q567" s="411"/>
      <c r="R567" s="411"/>
      <c r="S567" s="411"/>
      <c r="T567" s="411"/>
      <c r="U567" s="411"/>
      <c r="V567" s="35"/>
    </row>
    <row r="568" spans="1:32" s="16" customFormat="1" ht="46.5" customHeight="1" x14ac:dyDescent="0.2">
      <c r="A568" s="140"/>
      <c r="B568" s="141"/>
      <c r="C568" s="408" t="str">
        <f>"Neraca "&amp;'[1]2.ISIAN DATA SKPD'!D11&amp;" Per  31 Desember "&amp;'[1]2.ISIAN DATA SKPD'!D11&amp;" menunjukkan posisi Aset sebesar Rp. "&amp;FIXED(I573)&amp;", Kewajiban sebesar Rp. "&amp;FIXED(I574)&amp;"  dan Ekuitas sebesar Rp. "&amp;FIXED(I575)&amp;", sebagaimana tabel berikut :"</f>
        <v>Neraca 2018 Per  31 Desember 2018 menunjukkan posisi Aset sebesar Rp. 40.484.719.525,50, Kewajiban sebesar Rp. 9.147.040,00  dan Ekuitas sebesar Rp. 10.989.974.586,50, sebagaimana tabel berikut :</v>
      </c>
      <c r="D568" s="408"/>
      <c r="E568" s="408"/>
      <c r="F568" s="408"/>
      <c r="G568" s="408"/>
      <c r="H568" s="408"/>
      <c r="I568" s="408"/>
      <c r="J568" s="408"/>
      <c r="K568" s="408"/>
      <c r="L568" s="408"/>
      <c r="M568" s="408"/>
      <c r="N568" s="408"/>
      <c r="O568" s="408"/>
      <c r="P568" s="408"/>
      <c r="Q568" s="408"/>
      <c r="R568" s="408"/>
      <c r="S568" s="408"/>
      <c r="T568" s="408"/>
      <c r="U568" s="408"/>
      <c r="V568" s="35"/>
    </row>
    <row r="569" spans="1:32" s="16" customFormat="1" ht="46.5" customHeight="1" x14ac:dyDescent="0.2">
      <c r="A569" s="140"/>
      <c r="B569" s="141"/>
      <c r="C569" s="37"/>
      <c r="D569" s="37"/>
      <c r="E569" s="37"/>
      <c r="F569" s="37"/>
      <c r="G569" s="37"/>
      <c r="H569" s="37"/>
      <c r="I569" s="37"/>
      <c r="J569" s="37"/>
      <c r="K569" s="37"/>
      <c r="L569" s="37"/>
      <c r="M569" s="37"/>
      <c r="N569" s="37"/>
      <c r="O569" s="37"/>
      <c r="P569" s="37"/>
      <c r="Q569" s="37"/>
      <c r="R569" s="37"/>
      <c r="S569" s="37"/>
      <c r="T569" s="37"/>
      <c r="U569" s="37"/>
      <c r="V569" s="35"/>
    </row>
    <row r="570" spans="1:32" s="16" customFormat="1" ht="15.75" customHeight="1" x14ac:dyDescent="0.2">
      <c r="A570" s="140"/>
      <c r="B570" s="141"/>
      <c r="C570" s="37"/>
      <c r="D570" s="37"/>
      <c r="E570" s="37"/>
      <c r="F570" s="37"/>
      <c r="G570" s="37"/>
      <c r="H570" s="37"/>
      <c r="I570" s="37"/>
      <c r="J570" s="37"/>
      <c r="K570" s="37"/>
      <c r="L570" s="37"/>
      <c r="M570" s="37"/>
      <c r="N570" s="37"/>
      <c r="O570" s="37"/>
      <c r="P570" s="37"/>
      <c r="Q570" s="37"/>
      <c r="R570" s="37"/>
      <c r="S570" s="37"/>
      <c r="T570" s="37"/>
      <c r="U570" s="37"/>
      <c r="V570" s="35"/>
    </row>
    <row r="571" spans="1:32" s="16" customFormat="1" ht="18" customHeight="1" x14ac:dyDescent="0.2">
      <c r="A571" s="140"/>
      <c r="B571" s="141"/>
      <c r="C571" s="97"/>
      <c r="D571" s="97"/>
      <c r="E571" s="97"/>
      <c r="F571" s="97"/>
      <c r="G571" s="97"/>
      <c r="H571" s="97"/>
      <c r="I571" s="97"/>
      <c r="J571" s="97"/>
      <c r="K571" s="97"/>
      <c r="L571" s="97"/>
      <c r="M571" s="97"/>
      <c r="N571" s="97"/>
      <c r="O571" s="97"/>
      <c r="P571" s="97"/>
      <c r="Q571" s="97"/>
      <c r="R571" s="97"/>
      <c r="S571" s="97"/>
      <c r="T571" s="97"/>
      <c r="U571" s="97"/>
      <c r="V571" s="35"/>
    </row>
    <row r="572" spans="1:32" s="16" customFormat="1" ht="26.25" customHeight="1" x14ac:dyDescent="0.2">
      <c r="A572" s="142"/>
      <c r="B572" s="425" t="s">
        <v>0</v>
      </c>
      <c r="C572" s="426"/>
      <c r="D572" s="426"/>
      <c r="E572" s="426"/>
      <c r="F572" s="426"/>
      <c r="G572" s="426"/>
      <c r="H572" s="427"/>
      <c r="I572" s="1017" t="str">
        <f>"TA "&amp;'[1]2.ISIAN DATA SKPD'!D11&amp;""</f>
        <v>TA 2018</v>
      </c>
      <c r="J572" s="1018"/>
      <c r="K572" s="1018"/>
      <c r="L572" s="1018"/>
      <c r="M572" s="1019"/>
      <c r="N572" s="1020" t="str">
        <f>"TA "&amp;'[1]2.ISIAN DATA SKPD'!D12&amp;""</f>
        <v>TA 2017</v>
      </c>
      <c r="O572" s="1021"/>
      <c r="P572" s="1021"/>
      <c r="Q572" s="1021"/>
      <c r="R572" s="1021"/>
      <c r="S572" s="1022"/>
      <c r="T572" s="1023" t="s">
        <v>247</v>
      </c>
      <c r="U572" s="1024"/>
      <c r="V572" s="23"/>
    </row>
    <row r="573" spans="1:32" s="16" customFormat="1" ht="18" customHeight="1" x14ac:dyDescent="0.2">
      <c r="A573" s="143"/>
      <c r="B573" s="1010" t="s">
        <v>315</v>
      </c>
      <c r="C573" s="1011"/>
      <c r="D573" s="1011"/>
      <c r="E573" s="1011"/>
      <c r="F573" s="1011"/>
      <c r="G573" s="1011"/>
      <c r="H573" s="1012"/>
      <c r="I573" s="829">
        <f>'[1]4.NERACA'!I5</f>
        <v>40484719525.500397</v>
      </c>
      <c r="J573" s="830"/>
      <c r="K573" s="830"/>
      <c r="L573" s="830"/>
      <c r="M573" s="830"/>
      <c r="N573" s="832">
        <f>'[1]4.NERACA'!D5</f>
        <v>25896888324.400402</v>
      </c>
      <c r="O573" s="833"/>
      <c r="P573" s="833"/>
      <c r="Q573" s="833"/>
      <c r="R573" s="833"/>
      <c r="S573" s="834"/>
      <c r="T573" s="1013">
        <f>SUM((I573-N573)/I573)*100</f>
        <v>36.032931367874376</v>
      </c>
      <c r="U573" s="1014"/>
      <c r="V573" s="23"/>
    </row>
    <row r="574" spans="1:32" s="16" customFormat="1" ht="18" customHeight="1" x14ac:dyDescent="0.2">
      <c r="A574" s="143"/>
      <c r="B574" s="1010" t="s">
        <v>316</v>
      </c>
      <c r="C574" s="1011"/>
      <c r="D574" s="1011"/>
      <c r="E574" s="1011"/>
      <c r="F574" s="1011"/>
      <c r="G574" s="1011"/>
      <c r="H574" s="1012"/>
      <c r="I574" s="829">
        <f>'[1]4.NERACA'!I156</f>
        <v>9147040</v>
      </c>
      <c r="J574" s="830"/>
      <c r="K574" s="830"/>
      <c r="L574" s="830"/>
      <c r="M574" s="830"/>
      <c r="N574" s="832">
        <f>'[1]4.NERACA'!D156</f>
        <v>3026308</v>
      </c>
      <c r="O574" s="833"/>
      <c r="P574" s="833"/>
      <c r="Q574" s="833"/>
      <c r="R574" s="833"/>
      <c r="S574" s="834"/>
      <c r="T574" s="1013">
        <f>SUM((I574-N574)/I574)*100</f>
        <v>66.914892686595877</v>
      </c>
      <c r="U574" s="1014"/>
      <c r="V574" s="23"/>
    </row>
    <row r="575" spans="1:32" s="16" customFormat="1" ht="18" customHeight="1" x14ac:dyDescent="0.2">
      <c r="A575" s="143"/>
      <c r="B575" s="1010" t="s">
        <v>317</v>
      </c>
      <c r="C575" s="1011"/>
      <c r="D575" s="1011"/>
      <c r="E575" s="1011"/>
      <c r="F575" s="1011"/>
      <c r="G575" s="1011"/>
      <c r="H575" s="1012"/>
      <c r="I575" s="829">
        <f>'[1]4.NERACA'!I211</f>
        <v>10989974586.499996</v>
      </c>
      <c r="J575" s="830"/>
      <c r="K575" s="830"/>
      <c r="L575" s="830"/>
      <c r="M575" s="830"/>
      <c r="N575" s="832">
        <f>'[1]4.NERACA'!D211</f>
        <v>19319046848.299999</v>
      </c>
      <c r="O575" s="833"/>
      <c r="P575" s="833"/>
      <c r="Q575" s="833"/>
      <c r="R575" s="833"/>
      <c r="S575" s="834"/>
      <c r="T575" s="1013">
        <f>SUM((I575-N575)/I575)*100</f>
        <v>-75.7879119395906</v>
      </c>
      <c r="U575" s="1014"/>
      <c r="V575" s="23"/>
    </row>
    <row r="576" spans="1:32" s="16" customFormat="1" ht="27.75" customHeight="1" x14ac:dyDescent="0.2">
      <c r="A576" s="143"/>
      <c r="B576" s="997" t="s">
        <v>318</v>
      </c>
      <c r="C576" s="1015"/>
      <c r="D576" s="1015"/>
      <c r="E576" s="1015"/>
      <c r="F576" s="1015"/>
      <c r="G576" s="1015"/>
      <c r="H576" s="1016"/>
      <c r="I576" s="820">
        <f>I575+I574</f>
        <v>10999121626.499996</v>
      </c>
      <c r="J576" s="821"/>
      <c r="K576" s="821"/>
      <c r="L576" s="821"/>
      <c r="M576" s="821"/>
      <c r="N576" s="823">
        <f>N575+N574</f>
        <v>19322073156.299999</v>
      </c>
      <c r="O576" s="824"/>
      <c r="P576" s="824"/>
      <c r="Q576" s="824"/>
      <c r="R576" s="824"/>
      <c r="S576" s="825"/>
      <c r="T576" s="1013">
        <f>SUM((I576-N576)/I576)*100</f>
        <v>-75.669238075771958</v>
      </c>
      <c r="U576" s="1014"/>
      <c r="V576" s="23"/>
    </row>
    <row r="577" spans="1:22" s="16" customFormat="1" ht="17.25" customHeight="1" x14ac:dyDescent="0.2">
      <c r="A577" s="140"/>
      <c r="B577" s="144"/>
      <c r="C577" s="145"/>
      <c r="D577" s="145"/>
      <c r="E577" s="145"/>
      <c r="F577" s="145"/>
      <c r="G577" s="145"/>
      <c r="H577" s="145"/>
      <c r="I577" s="1009"/>
      <c r="J577" s="1009"/>
      <c r="K577" s="1009"/>
      <c r="L577" s="1009"/>
      <c r="M577" s="1009"/>
      <c r="N577" s="145"/>
      <c r="O577" s="145"/>
      <c r="P577" s="145"/>
      <c r="Q577" s="145"/>
      <c r="R577" s="145"/>
      <c r="S577" s="145"/>
      <c r="T577" s="145"/>
      <c r="U577" s="145"/>
      <c r="V577" s="23"/>
    </row>
    <row r="578" spans="1:22" s="16" customFormat="1" ht="18.75" customHeight="1" x14ac:dyDescent="0.2">
      <c r="A578" s="14"/>
      <c r="B578" s="139" t="s">
        <v>319</v>
      </c>
      <c r="C578" s="411" t="s">
        <v>320</v>
      </c>
      <c r="D578" s="411"/>
      <c r="E578" s="411"/>
      <c r="F578" s="411"/>
      <c r="G578" s="411"/>
      <c r="H578" s="411"/>
      <c r="I578" s="411"/>
      <c r="J578" s="411"/>
      <c r="K578" s="411"/>
      <c r="L578" s="411"/>
      <c r="M578" s="411"/>
      <c r="N578" s="411"/>
      <c r="O578" s="411"/>
      <c r="P578" s="411"/>
      <c r="Q578" s="411"/>
      <c r="R578" s="411"/>
      <c r="S578" s="411"/>
      <c r="T578" s="411"/>
      <c r="U578" s="411"/>
      <c r="V578" s="23"/>
    </row>
    <row r="579" spans="1:22" s="16" customFormat="1" ht="46.5" customHeight="1" x14ac:dyDescent="0.2">
      <c r="A579" s="429"/>
      <c r="B579" s="35"/>
      <c r="C579" s="408" t="str">
        <f>"Aset "&amp;'[1]2.ISIAN DATA SKPD'!D2&amp;" per "&amp;'[1]2.ISIAN DATA SKPD'!D8&amp;" adalah sebesar Rp. "&amp;FIXED(I573)&amp;" dengan penjelasan masing-masing akun sebagai berikut:"</f>
        <v>Aset Dinas Pariwisata Dan Kebudayaan per 31 Desember 2018 adalah sebesar Rp. 40.484.719.525,50 dengan penjelasan masing-masing akun sebagai berikut:</v>
      </c>
      <c r="D579" s="408"/>
      <c r="E579" s="408"/>
      <c r="F579" s="408"/>
      <c r="G579" s="408"/>
      <c r="H579" s="408"/>
      <c r="I579" s="408"/>
      <c r="J579" s="408"/>
      <c r="K579" s="408"/>
      <c r="L579" s="408"/>
      <c r="M579" s="408"/>
      <c r="N579" s="408"/>
      <c r="O579" s="408"/>
      <c r="P579" s="408"/>
      <c r="Q579" s="408"/>
      <c r="R579" s="408"/>
      <c r="S579" s="408"/>
      <c r="T579" s="408"/>
      <c r="U579" s="408"/>
      <c r="V579" s="23"/>
    </row>
    <row r="580" spans="1:22" s="16" customFormat="1" ht="19.5" customHeight="1" x14ac:dyDescent="0.2">
      <c r="A580" s="429"/>
      <c r="B580" s="35"/>
      <c r="C580" s="37"/>
      <c r="D580" s="37"/>
      <c r="E580" s="37"/>
      <c r="F580" s="37"/>
      <c r="G580" s="37"/>
      <c r="H580" s="37"/>
      <c r="I580" s="37"/>
      <c r="J580" s="37"/>
      <c r="K580" s="37"/>
      <c r="L580" s="37"/>
      <c r="M580" s="37"/>
      <c r="N580" s="37"/>
      <c r="O580" s="37"/>
      <c r="P580" s="37"/>
      <c r="Q580" s="37"/>
      <c r="R580" s="37"/>
      <c r="S580" s="37"/>
      <c r="T580" s="37"/>
      <c r="U580" s="37"/>
      <c r="V580" s="23"/>
    </row>
    <row r="581" spans="1:22" s="16" customFormat="1" ht="18" customHeight="1" x14ac:dyDescent="0.2">
      <c r="A581" s="429"/>
      <c r="B581" s="146" t="s">
        <v>321</v>
      </c>
      <c r="C581" s="146"/>
      <c r="D581" s="38"/>
      <c r="E581" s="38"/>
      <c r="F581" s="38"/>
      <c r="G581" s="38"/>
      <c r="H581" s="38"/>
      <c r="I581" s="38"/>
      <c r="J581" s="38"/>
      <c r="K581" s="38"/>
      <c r="L581" s="38"/>
      <c r="M581" s="38"/>
      <c r="N581" s="38"/>
      <c r="O581" s="38"/>
      <c r="P581" s="38"/>
      <c r="Q581" s="38"/>
      <c r="R581" s="38"/>
      <c r="S581" s="38"/>
      <c r="T581" s="38"/>
      <c r="U581" s="38"/>
      <c r="V581" s="23"/>
    </row>
    <row r="582" spans="1:22" s="16" customFormat="1" ht="29.25" customHeight="1" x14ac:dyDescent="0.2">
      <c r="A582" s="14"/>
      <c r="B582" s="35"/>
      <c r="C582" s="408" t="str">
        <f>"Aset Lancar per "&amp;'[1]2.ISIAN DATA SKPD'!D8&amp;" sebesar  Rp."&amp;FIXED(O589)&amp;"  terdiri atas:"</f>
        <v>Aset Lancar per 31 Desember 2018 sebesar  Rp.120.208.483,00  terdiri atas:</v>
      </c>
      <c r="D582" s="408"/>
      <c r="E582" s="408"/>
      <c r="F582" s="408"/>
      <c r="G582" s="408"/>
      <c r="H582" s="408"/>
      <c r="I582" s="408"/>
      <c r="J582" s="408"/>
      <c r="K582" s="408"/>
      <c r="L582" s="408"/>
      <c r="M582" s="408"/>
      <c r="N582" s="408"/>
      <c r="O582" s="408"/>
      <c r="P582" s="408"/>
      <c r="Q582" s="408"/>
      <c r="R582" s="408"/>
      <c r="S582" s="408"/>
      <c r="T582" s="408"/>
      <c r="U582" s="408"/>
      <c r="V582" s="23"/>
    </row>
    <row r="583" spans="1:22" s="16" customFormat="1" ht="18.75" customHeight="1" x14ac:dyDescent="0.2">
      <c r="A583" s="14"/>
      <c r="B583" s="10"/>
      <c r="C583" s="1003" t="s">
        <v>160</v>
      </c>
      <c r="D583" s="1004"/>
      <c r="E583" s="1005" t="s">
        <v>322</v>
      </c>
      <c r="F583" s="1005"/>
      <c r="G583" s="1005"/>
      <c r="H583" s="1005"/>
      <c r="I583" s="1005"/>
      <c r="J583" s="1005"/>
      <c r="K583" s="1005"/>
      <c r="M583" s="147" t="s">
        <v>323</v>
      </c>
      <c r="N583" s="148"/>
      <c r="O583" s="1008">
        <f>'[1]4.NERACA'!I7</f>
        <v>91266800</v>
      </c>
      <c r="P583" s="1008"/>
      <c r="Q583" s="1008"/>
      <c r="R583" s="1008"/>
      <c r="S583" s="1008"/>
      <c r="T583" s="1008"/>
      <c r="U583" s="148"/>
      <c r="V583" s="23"/>
    </row>
    <row r="584" spans="1:22" s="16" customFormat="1" ht="18.75" customHeight="1" x14ac:dyDescent="0.2">
      <c r="A584" s="14"/>
      <c r="B584" s="10"/>
      <c r="C584" s="1003" t="s">
        <v>153</v>
      </c>
      <c r="D584" s="1004"/>
      <c r="E584" s="1005" t="s">
        <v>7</v>
      </c>
      <c r="F584" s="1005"/>
      <c r="G584" s="1005"/>
      <c r="H584" s="1005"/>
      <c r="I584" s="1005"/>
      <c r="J584" s="1005"/>
      <c r="K584" s="1005"/>
      <c r="M584" s="147" t="s">
        <v>323</v>
      </c>
      <c r="N584" s="148"/>
      <c r="O584" s="1008">
        <f>'[1]4.NERACA'!I14</f>
        <v>0</v>
      </c>
      <c r="P584" s="1008"/>
      <c r="Q584" s="1008"/>
      <c r="R584" s="1008"/>
      <c r="S584" s="1008"/>
      <c r="T584" s="1008"/>
      <c r="U584" s="149"/>
      <c r="V584" s="23"/>
    </row>
    <row r="585" spans="1:22" s="16" customFormat="1" ht="18.75" customHeight="1" x14ac:dyDescent="0.2">
      <c r="A585" s="14"/>
      <c r="B585" s="10"/>
      <c r="C585" s="1003" t="s">
        <v>154</v>
      </c>
      <c r="D585" s="1004"/>
      <c r="E585" s="1005" t="s">
        <v>8</v>
      </c>
      <c r="F585" s="1005"/>
      <c r="G585" s="1005"/>
      <c r="H585" s="1005"/>
      <c r="I585" s="1005"/>
      <c r="J585" s="1005"/>
      <c r="K585" s="1005"/>
      <c r="M585" s="147" t="s">
        <v>323</v>
      </c>
      <c r="N585" s="148"/>
      <c r="O585" s="1008">
        <f>'[1]4.NERACA'!I22</f>
        <v>10616000</v>
      </c>
      <c r="P585" s="1008"/>
      <c r="Q585" s="1008"/>
      <c r="R585" s="1008"/>
      <c r="S585" s="1008"/>
      <c r="T585" s="1008"/>
      <c r="U585" s="148"/>
      <c r="V585" s="23"/>
    </row>
    <row r="586" spans="1:22" s="16" customFormat="1" ht="18.75" customHeight="1" x14ac:dyDescent="0.2">
      <c r="A586" s="14"/>
      <c r="B586" s="10"/>
      <c r="C586" s="1003" t="s">
        <v>155</v>
      </c>
      <c r="D586" s="1004"/>
      <c r="E586" s="1005" t="s">
        <v>9</v>
      </c>
      <c r="F586" s="1005"/>
      <c r="G586" s="1005"/>
      <c r="H586" s="1005"/>
      <c r="I586" s="1005"/>
      <c r="J586" s="1005"/>
      <c r="K586" s="1005"/>
      <c r="M586" s="147" t="s">
        <v>323</v>
      </c>
      <c r="N586" s="148"/>
      <c r="O586" s="1008">
        <f>'[1]4.NERACA'!I34</f>
        <v>0</v>
      </c>
      <c r="P586" s="1008"/>
      <c r="Q586" s="1008"/>
      <c r="R586" s="1008"/>
      <c r="S586" s="1008"/>
      <c r="T586" s="1008"/>
      <c r="U586" s="148"/>
      <c r="V586" s="23"/>
    </row>
    <row r="587" spans="1:22" s="16" customFormat="1" ht="18.75" customHeight="1" x14ac:dyDescent="0.2">
      <c r="A587" s="14"/>
      <c r="B587" s="10"/>
      <c r="C587" s="1003" t="s">
        <v>156</v>
      </c>
      <c r="D587" s="1004"/>
      <c r="E587" s="1005" t="s">
        <v>324</v>
      </c>
      <c r="F587" s="1005"/>
      <c r="G587" s="1005"/>
      <c r="H587" s="1005"/>
      <c r="I587" s="1005"/>
      <c r="J587" s="1005"/>
      <c r="K587" s="1005"/>
      <c r="M587" s="147" t="s">
        <v>323</v>
      </c>
      <c r="N587" s="148"/>
      <c r="O587" s="1008">
        <f>'[1]4.NERACA'!I37</f>
        <v>0</v>
      </c>
      <c r="P587" s="1008"/>
      <c r="Q587" s="1008"/>
      <c r="R587" s="1008"/>
      <c r="S587" s="1008"/>
      <c r="T587" s="1008"/>
      <c r="U587" s="149"/>
      <c r="V587" s="23"/>
    </row>
    <row r="588" spans="1:22" s="16" customFormat="1" ht="18.75" customHeight="1" x14ac:dyDescent="0.2">
      <c r="A588" s="14"/>
      <c r="B588" s="10"/>
      <c r="C588" s="1003" t="s">
        <v>325</v>
      </c>
      <c r="D588" s="1004"/>
      <c r="E588" s="1005" t="s">
        <v>10</v>
      </c>
      <c r="F588" s="1005"/>
      <c r="G588" s="1005"/>
      <c r="H588" s="1005"/>
      <c r="I588" s="1005"/>
      <c r="J588" s="1005"/>
      <c r="K588" s="1005"/>
      <c r="M588" s="147" t="s">
        <v>323</v>
      </c>
      <c r="N588" s="148"/>
      <c r="O588" s="1006">
        <f>'[1]4.NERACA'!I43</f>
        <v>18325683</v>
      </c>
      <c r="P588" s="1006"/>
      <c r="Q588" s="1006"/>
      <c r="R588" s="1006"/>
      <c r="S588" s="1006"/>
      <c r="T588" s="1006"/>
      <c r="U588" s="148"/>
      <c r="V588" s="23"/>
    </row>
    <row r="589" spans="1:22" s="16" customFormat="1" ht="23.25" customHeight="1" x14ac:dyDescent="0.2">
      <c r="A589" s="14"/>
      <c r="B589" s="10"/>
      <c r="C589" s="1007" t="s">
        <v>240</v>
      </c>
      <c r="D589" s="1007"/>
      <c r="E589" s="1007"/>
      <c r="F589" s="1007"/>
      <c r="G589" s="1007"/>
      <c r="H589" s="1007"/>
      <c r="I589" s="1007"/>
      <c r="J589" s="1007"/>
      <c r="K589" s="1007"/>
      <c r="M589" s="147" t="s">
        <v>323</v>
      </c>
      <c r="N589" s="150"/>
      <c r="O589" s="1008">
        <f>SUM(N583:Q588)</f>
        <v>120208483</v>
      </c>
      <c r="P589" s="1008"/>
      <c r="Q589" s="1008"/>
      <c r="R589" s="1008"/>
      <c r="S589" s="1008"/>
      <c r="T589" s="1008"/>
      <c r="U589" s="148"/>
      <c r="V589" s="23"/>
    </row>
    <row r="590" spans="1:22" s="16" customFormat="1" ht="20.25" customHeight="1" x14ac:dyDescent="0.2">
      <c r="A590" s="14"/>
      <c r="B590" s="10"/>
      <c r="C590" s="151"/>
      <c r="D590" s="151"/>
      <c r="E590" s="151"/>
      <c r="F590" s="151"/>
      <c r="G590" s="151"/>
      <c r="H590" s="151"/>
      <c r="I590" s="151"/>
      <c r="J590" s="151"/>
      <c r="K590" s="151"/>
      <c r="L590" s="151"/>
      <c r="M590" s="149"/>
      <c r="N590" s="149"/>
      <c r="O590" s="149"/>
      <c r="P590" s="149"/>
      <c r="Q590" s="149"/>
      <c r="R590" s="149"/>
      <c r="S590" s="149"/>
      <c r="T590" s="149"/>
      <c r="U590" s="149"/>
      <c r="V590" s="23"/>
    </row>
    <row r="591" spans="1:22" s="16" customFormat="1" ht="16.5" customHeight="1" x14ac:dyDescent="0.2">
      <c r="A591" s="14"/>
      <c r="C591" s="6" t="s">
        <v>160</v>
      </c>
      <c r="D591" s="411" t="s">
        <v>326</v>
      </c>
      <c r="E591" s="411"/>
      <c r="F591" s="411"/>
      <c r="G591" s="411"/>
      <c r="H591" s="411"/>
      <c r="I591" s="411"/>
      <c r="J591" s="411"/>
      <c r="K591" s="411"/>
      <c r="L591" s="411"/>
      <c r="M591" s="411"/>
      <c r="N591" s="411"/>
      <c r="O591" s="411"/>
      <c r="P591" s="411"/>
      <c r="Q591" s="411"/>
      <c r="R591" s="411"/>
      <c r="S591" s="411"/>
      <c r="T591" s="411"/>
      <c r="U591" s="38"/>
      <c r="V591" s="23"/>
    </row>
    <row r="592" spans="1:22" s="16" customFormat="1" ht="33.75" customHeight="1" x14ac:dyDescent="0.2">
      <c r="A592" s="14"/>
      <c r="C592" s="20"/>
      <c r="D592" s="408" t="str">
        <f>"Kas dan Setara Kas  per "&amp;'[1]2.ISIAN DATA SKPD'!D8&amp;" dan TA "&amp;'[1]2.ISIAN DATA SKPD'!D12&amp;" adalah sebesar Rp. "&amp;FIXED(J599)&amp;""</f>
        <v>Kas dan Setara Kas  per 31 Desember 2018 dan TA 2017 adalah sebesar Rp. 91.266.800,00</v>
      </c>
      <c r="E592" s="408"/>
      <c r="F592" s="408"/>
      <c r="G592" s="408"/>
      <c r="H592" s="408"/>
      <c r="I592" s="408"/>
      <c r="J592" s="408"/>
      <c r="K592" s="408"/>
      <c r="L592" s="408"/>
      <c r="M592" s="408"/>
      <c r="N592" s="408"/>
      <c r="O592" s="408"/>
      <c r="P592" s="408"/>
      <c r="Q592" s="408"/>
      <c r="R592" s="408"/>
      <c r="S592" s="408"/>
      <c r="T592" s="408"/>
      <c r="U592" s="408"/>
      <c r="V592" s="23"/>
    </row>
    <row r="593" spans="1:22" s="16" customFormat="1" ht="15.75" customHeight="1" x14ac:dyDescent="0.2">
      <c r="A593" s="14"/>
      <c r="C593" s="20"/>
      <c r="D593" s="37"/>
      <c r="E593" s="37"/>
      <c r="F593" s="37"/>
      <c r="G593" s="37"/>
      <c r="H593" s="37"/>
      <c r="I593" s="37"/>
      <c r="J593" s="37"/>
      <c r="K593" s="37"/>
      <c r="L593" s="37"/>
      <c r="M593" s="37"/>
      <c r="N593" s="37"/>
      <c r="O593" s="37"/>
      <c r="P593" s="37"/>
      <c r="Q593" s="37"/>
      <c r="R593" s="37"/>
      <c r="S593" s="37"/>
      <c r="T593" s="37"/>
      <c r="U593" s="37"/>
      <c r="V593" s="23"/>
    </row>
    <row r="594" spans="1:22" s="16" customFormat="1" ht="16.5" customHeight="1" x14ac:dyDescent="0.25">
      <c r="A594" s="14"/>
      <c r="B594" s="152" t="s">
        <v>209</v>
      </c>
      <c r="C594" s="838" t="s">
        <v>326</v>
      </c>
      <c r="D594" s="839"/>
      <c r="E594" s="839"/>
      <c r="F594" s="839"/>
      <c r="G594" s="839"/>
      <c r="H594" s="839"/>
      <c r="I594" s="840"/>
      <c r="J594" s="844" t="str">
        <f>I572</f>
        <v>TA 2018</v>
      </c>
      <c r="K594" s="437"/>
      <c r="L594" s="437"/>
      <c r="M594" s="437"/>
      <c r="N594" s="438"/>
      <c r="O594" s="425" t="str">
        <f>N572</f>
        <v>TA 2017</v>
      </c>
      <c r="P594" s="437"/>
      <c r="Q594" s="437"/>
      <c r="R594" s="437"/>
      <c r="S594" s="438"/>
      <c r="T594" s="1002" t="s">
        <v>40</v>
      </c>
      <c r="U594" s="1001"/>
      <c r="V594" s="23"/>
    </row>
    <row r="595" spans="1:22" s="16" customFormat="1" ht="33" customHeight="1" x14ac:dyDescent="0.2">
      <c r="A595" s="14"/>
      <c r="B595" s="153">
        <v>1</v>
      </c>
      <c r="C595" s="541" t="s">
        <v>3</v>
      </c>
      <c r="D595" s="541"/>
      <c r="E595" s="541"/>
      <c r="F595" s="541"/>
      <c r="G595" s="541"/>
      <c r="H595" s="541"/>
      <c r="I595" s="541"/>
      <c r="J595" s="832">
        <f>'[1]4.NERACA'!I9</f>
        <v>91266800</v>
      </c>
      <c r="K595" s="833"/>
      <c r="L595" s="833"/>
      <c r="M595" s="833"/>
      <c r="N595" s="833"/>
      <c r="O595" s="832">
        <f>'[1]4.NERACA'!D9</f>
        <v>91266800</v>
      </c>
      <c r="P595" s="833"/>
      <c r="Q595" s="833"/>
      <c r="R595" s="833"/>
      <c r="S595" s="833"/>
      <c r="T595" s="995">
        <v>100</v>
      </c>
      <c r="U595" s="996"/>
      <c r="V595" s="23"/>
    </row>
    <row r="596" spans="1:22" s="16" customFormat="1" ht="33" customHeight="1" x14ac:dyDescent="0.2">
      <c r="A596" s="982"/>
      <c r="B596" s="153">
        <v>2</v>
      </c>
      <c r="C596" s="541" t="s">
        <v>4</v>
      </c>
      <c r="D596" s="541"/>
      <c r="E596" s="541"/>
      <c r="F596" s="541"/>
      <c r="G596" s="541"/>
      <c r="H596" s="541"/>
      <c r="I596" s="541"/>
      <c r="J596" s="832">
        <f>'[1]4.NERACA'!I10</f>
        <v>0</v>
      </c>
      <c r="K596" s="833"/>
      <c r="L596" s="833"/>
      <c r="M596" s="833"/>
      <c r="N596" s="833"/>
      <c r="O596" s="832">
        <f>'[1]4.NERACA'!D10</f>
        <v>0</v>
      </c>
      <c r="P596" s="833"/>
      <c r="Q596" s="833"/>
      <c r="R596" s="833"/>
      <c r="S596" s="833"/>
      <c r="T596" s="995">
        <v>0</v>
      </c>
      <c r="U596" s="996"/>
      <c r="V596" s="23"/>
    </row>
    <row r="597" spans="1:22" s="16" customFormat="1" ht="18" customHeight="1" x14ac:dyDescent="0.2">
      <c r="A597" s="982"/>
      <c r="B597" s="153">
        <v>3</v>
      </c>
      <c r="C597" s="541" t="s">
        <v>5</v>
      </c>
      <c r="D597" s="541"/>
      <c r="E597" s="541"/>
      <c r="F597" s="541"/>
      <c r="G597" s="541"/>
      <c r="H597" s="541"/>
      <c r="I597" s="541"/>
      <c r="J597" s="832">
        <f>'[1]4.NERACA'!I11</f>
        <v>0</v>
      </c>
      <c r="K597" s="833"/>
      <c r="L597" s="833"/>
      <c r="M597" s="833"/>
      <c r="N597" s="833"/>
      <c r="O597" s="832">
        <f>'[1]4.NERACA'!D11</f>
        <v>0</v>
      </c>
      <c r="P597" s="833"/>
      <c r="Q597" s="833"/>
      <c r="R597" s="833"/>
      <c r="S597" s="833"/>
      <c r="T597" s="995">
        <v>0</v>
      </c>
      <c r="U597" s="996"/>
      <c r="V597" s="23"/>
    </row>
    <row r="598" spans="1:22" s="16" customFormat="1" ht="21.75" customHeight="1" x14ac:dyDescent="0.2">
      <c r="A598" s="14"/>
      <c r="B598" s="153">
        <v>4</v>
      </c>
      <c r="C598" s="541" t="s">
        <v>6</v>
      </c>
      <c r="D598" s="541"/>
      <c r="E598" s="541"/>
      <c r="F598" s="541"/>
      <c r="G598" s="541"/>
      <c r="H598" s="541"/>
      <c r="I598" s="541"/>
      <c r="J598" s="832">
        <f>'[1]4.NERACA'!I12</f>
        <v>0</v>
      </c>
      <c r="K598" s="833"/>
      <c r="L598" s="833"/>
      <c r="M598" s="833"/>
      <c r="N598" s="833"/>
      <c r="O598" s="832">
        <f>'[1]4.NERACA'!D12</f>
        <v>0</v>
      </c>
      <c r="P598" s="833"/>
      <c r="Q598" s="833"/>
      <c r="R598" s="833"/>
      <c r="S598" s="833"/>
      <c r="T598" s="995">
        <v>0</v>
      </c>
      <c r="U598" s="996"/>
      <c r="V598" s="23"/>
    </row>
    <row r="599" spans="1:22" s="16" customFormat="1" ht="23.25" customHeight="1" x14ac:dyDescent="0.25">
      <c r="A599" s="14"/>
      <c r="B599" s="976" t="s">
        <v>240</v>
      </c>
      <c r="C599" s="977"/>
      <c r="D599" s="977"/>
      <c r="E599" s="977"/>
      <c r="F599" s="977"/>
      <c r="G599" s="977"/>
      <c r="H599" s="977"/>
      <c r="I599" s="978"/>
      <c r="J599" s="997">
        <f>SUM(J595:N598)</f>
        <v>91266800</v>
      </c>
      <c r="K599" s="998"/>
      <c r="L599" s="998"/>
      <c r="M599" s="998"/>
      <c r="N599" s="999"/>
      <c r="O599" s="997">
        <f>SUM(O595:S598)</f>
        <v>91266800</v>
      </c>
      <c r="P599" s="998"/>
      <c r="Q599" s="998"/>
      <c r="R599" s="998"/>
      <c r="S599" s="999"/>
      <c r="T599" s="1000">
        <v>100</v>
      </c>
      <c r="U599" s="1001"/>
      <c r="V599" s="23"/>
    </row>
    <row r="600" spans="1:22" s="16" customFormat="1" ht="23.25" customHeight="1" x14ac:dyDescent="0.2">
      <c r="A600" s="14"/>
      <c r="B600" s="10"/>
      <c r="C600" s="154"/>
      <c r="D600" s="154"/>
      <c r="E600" s="154"/>
      <c r="F600" s="154"/>
      <c r="G600" s="154"/>
      <c r="H600" s="154"/>
      <c r="I600" s="154"/>
      <c r="J600" s="154"/>
      <c r="K600" s="154"/>
      <c r="L600" s="154"/>
      <c r="M600" s="154"/>
      <c r="N600" s="154"/>
      <c r="O600" s="154"/>
      <c r="P600" s="154"/>
      <c r="Q600" s="154"/>
      <c r="R600" s="154"/>
      <c r="S600" s="154"/>
      <c r="T600" s="154"/>
      <c r="U600" s="155"/>
      <c r="V600" s="23"/>
    </row>
    <row r="601" spans="1:22" s="16" customFormat="1" ht="23.25" customHeight="1" x14ac:dyDescent="0.2">
      <c r="A601" s="14"/>
      <c r="B601" s="10"/>
      <c r="C601" s="154"/>
      <c r="D601" s="154"/>
      <c r="E601" s="154"/>
      <c r="F601" s="154"/>
      <c r="G601" s="154"/>
      <c r="H601" s="154"/>
      <c r="I601" s="154"/>
      <c r="J601" s="154"/>
      <c r="K601" s="154"/>
      <c r="L601" s="154"/>
      <c r="M601" s="154"/>
      <c r="N601" s="154"/>
      <c r="O601" s="154"/>
      <c r="P601" s="154"/>
      <c r="Q601" s="154"/>
      <c r="R601" s="154"/>
      <c r="S601" s="154"/>
      <c r="T601" s="154"/>
      <c r="U601" s="155"/>
      <c r="V601" s="23"/>
    </row>
    <row r="602" spans="1:22" s="16" customFormat="1" ht="23.25" customHeight="1" x14ac:dyDescent="0.2">
      <c r="A602" s="14"/>
      <c r="B602" s="10"/>
      <c r="C602" s="154"/>
      <c r="D602" s="154"/>
      <c r="E602" s="154"/>
      <c r="F602" s="154"/>
      <c r="G602" s="154"/>
      <c r="H602" s="154"/>
      <c r="I602" s="154"/>
      <c r="J602" s="154"/>
      <c r="K602" s="154"/>
      <c r="L602" s="154"/>
      <c r="M602" s="154"/>
      <c r="N602" s="154"/>
      <c r="O602" s="154"/>
      <c r="P602" s="154"/>
      <c r="Q602" s="154"/>
      <c r="R602" s="154"/>
      <c r="S602" s="154"/>
      <c r="T602" s="154"/>
      <c r="U602" s="155"/>
      <c r="V602" s="23"/>
    </row>
    <row r="603" spans="1:22" s="16" customFormat="1" ht="23.25" customHeight="1" x14ac:dyDescent="0.2">
      <c r="A603" s="14"/>
      <c r="B603" s="10"/>
      <c r="C603" s="154"/>
      <c r="D603" s="154"/>
      <c r="E603" s="154"/>
      <c r="F603" s="154"/>
      <c r="G603" s="154"/>
      <c r="H603" s="154"/>
      <c r="I603" s="154"/>
      <c r="J603" s="154"/>
      <c r="K603" s="154"/>
      <c r="L603" s="154"/>
      <c r="M603" s="154"/>
      <c r="N603" s="154"/>
      <c r="O603" s="154"/>
      <c r="P603" s="154"/>
      <c r="Q603" s="154"/>
      <c r="R603" s="154"/>
      <c r="S603" s="154"/>
      <c r="T603" s="154"/>
      <c r="U603" s="155"/>
      <c r="V603" s="23"/>
    </row>
    <row r="604" spans="1:22" s="16" customFormat="1" ht="23.25" customHeight="1" x14ac:dyDescent="0.2">
      <c r="A604" s="14"/>
      <c r="B604" s="10"/>
      <c r="C604" s="154"/>
      <c r="D604" s="154"/>
      <c r="E604" s="154"/>
      <c r="F604" s="154"/>
      <c r="G604" s="154"/>
      <c r="H604" s="154"/>
      <c r="I604" s="154"/>
      <c r="J604" s="154"/>
      <c r="K604" s="154"/>
      <c r="L604" s="154"/>
      <c r="M604" s="154"/>
      <c r="N604" s="154"/>
      <c r="O604" s="154"/>
      <c r="P604" s="154"/>
      <c r="Q604" s="154"/>
      <c r="R604" s="154"/>
      <c r="S604" s="154"/>
      <c r="T604" s="154"/>
      <c r="U604" s="155"/>
      <c r="V604" s="23"/>
    </row>
    <row r="605" spans="1:22" s="16" customFormat="1" ht="23.25" customHeight="1" x14ac:dyDescent="0.2">
      <c r="A605" s="14"/>
      <c r="B605" s="10"/>
      <c r="C605" s="6" t="s">
        <v>47</v>
      </c>
      <c r="D605" s="411" t="s">
        <v>3</v>
      </c>
      <c r="E605" s="411"/>
      <c r="F605" s="411"/>
      <c r="G605" s="411"/>
      <c r="H605" s="411"/>
      <c r="I605" s="411"/>
      <c r="J605" s="411"/>
      <c r="K605" s="411"/>
      <c r="L605" s="411"/>
      <c r="M605" s="411"/>
      <c r="N605" s="411"/>
      <c r="O605" s="411"/>
      <c r="P605" s="411"/>
      <c r="Q605" s="411"/>
      <c r="R605" s="411"/>
      <c r="S605" s="411"/>
      <c r="T605" s="411"/>
      <c r="U605" s="411"/>
      <c r="V605" s="23"/>
    </row>
    <row r="606" spans="1:22" s="16" customFormat="1" ht="50.25" customHeight="1" x14ac:dyDescent="0.2">
      <c r="A606" s="14"/>
      <c r="B606" s="10"/>
      <c r="C606" s="154"/>
      <c r="D606" s="407" t="str">
        <f>"Saldo Kas di Bendahara Penerimaan per tanggal "&amp;'[1]2.ISIAN DATA SKPD'!D8&amp;" dan "&amp;'[1]2.ISIAN DATA SKPD'!D12&amp;" adalah sebesar masing-masing Rp. "&amp;FIXED(J613)&amp;""</f>
        <v>Saldo Kas di Bendahara Penerimaan per tanggal 31 Desember 2018 dan 2017 adalah sebesar masing-masing Rp. 91.266.800,00</v>
      </c>
      <c r="E606" s="407"/>
      <c r="F606" s="407"/>
      <c r="G606" s="407"/>
      <c r="H606" s="407"/>
      <c r="I606" s="407"/>
      <c r="J606" s="407"/>
      <c r="K606" s="407"/>
      <c r="L606" s="407"/>
      <c r="M606" s="407"/>
      <c r="N606" s="407"/>
      <c r="O606" s="407"/>
      <c r="P606" s="407"/>
      <c r="Q606" s="407"/>
      <c r="R606" s="407"/>
      <c r="S606" s="407"/>
      <c r="T606" s="407"/>
      <c r="U606" s="407"/>
      <c r="V606" s="23"/>
    </row>
    <row r="607" spans="1:22" s="16" customFormat="1" ht="59.25" customHeight="1" x14ac:dyDescent="0.2">
      <c r="A607" s="14"/>
      <c r="C607" s="29"/>
      <c r="D607" s="407" t="s">
        <v>327</v>
      </c>
      <c r="E607" s="407"/>
      <c r="F607" s="407"/>
      <c r="G607" s="407"/>
      <c r="H607" s="407"/>
      <c r="I607" s="407"/>
      <c r="J607" s="407"/>
      <c r="K607" s="407"/>
      <c r="L607" s="407"/>
      <c r="M607" s="407"/>
      <c r="N607" s="407"/>
      <c r="O607" s="407"/>
      <c r="P607" s="407"/>
      <c r="Q607" s="407"/>
      <c r="R607" s="407"/>
      <c r="S607" s="407"/>
      <c r="T607" s="407"/>
      <c r="U607" s="407"/>
      <c r="V607" s="23"/>
    </row>
    <row r="608" spans="1:22" s="16" customFormat="1" ht="17.25" customHeight="1" x14ac:dyDescent="0.2">
      <c r="A608" s="14"/>
      <c r="C608" s="29"/>
      <c r="D608" s="77"/>
      <c r="E608" s="77"/>
      <c r="F608" s="77"/>
      <c r="G608" s="77"/>
      <c r="H608" s="77"/>
      <c r="I608" s="77"/>
      <c r="J608" s="77"/>
      <c r="K608" s="77"/>
      <c r="L608" s="77"/>
      <c r="M608" s="77"/>
      <c r="N608" s="77"/>
      <c r="O608" s="77"/>
      <c r="P608" s="77"/>
      <c r="Q608" s="77"/>
      <c r="R608" s="77"/>
      <c r="S608" s="77"/>
      <c r="T608" s="77"/>
      <c r="U608" s="77"/>
      <c r="V608" s="23"/>
    </row>
    <row r="609" spans="1:22" s="16" customFormat="1" ht="23.25" customHeight="1" x14ac:dyDescent="0.2">
      <c r="A609" s="14"/>
      <c r="B609" s="452" t="s">
        <v>328</v>
      </c>
      <c r="C609" s="452"/>
      <c r="D609" s="452"/>
      <c r="E609" s="452"/>
      <c r="F609" s="452"/>
      <c r="G609" s="452"/>
      <c r="H609" s="452"/>
      <c r="I609" s="452"/>
      <c r="J609" s="452"/>
      <c r="K609" s="452"/>
      <c r="L609" s="452"/>
      <c r="M609" s="452"/>
      <c r="N609" s="452"/>
      <c r="O609" s="452"/>
      <c r="P609" s="452"/>
      <c r="Q609" s="452"/>
      <c r="R609" s="452"/>
      <c r="S609" s="452"/>
      <c r="T609" s="452"/>
      <c r="U609" s="452"/>
      <c r="V609" s="23"/>
    </row>
    <row r="610" spans="1:22" s="16" customFormat="1" ht="19.5" customHeight="1" x14ac:dyDescent="0.2">
      <c r="A610" s="14"/>
      <c r="B610" s="838" t="s">
        <v>329</v>
      </c>
      <c r="C610" s="839"/>
      <c r="D610" s="839"/>
      <c r="E610" s="839"/>
      <c r="F610" s="839"/>
      <c r="G610" s="839"/>
      <c r="H610" s="839"/>
      <c r="I610" s="839"/>
      <c r="J610" s="844" t="str">
        <f>J594</f>
        <v>TA 2018</v>
      </c>
      <c r="K610" s="845"/>
      <c r="L610" s="845"/>
      <c r="M610" s="845"/>
      <c r="N610" s="846"/>
      <c r="O610" s="425" t="str">
        <f>O594</f>
        <v>TA 2017</v>
      </c>
      <c r="P610" s="426"/>
      <c r="Q610" s="426"/>
      <c r="R610" s="426"/>
      <c r="S610" s="427"/>
      <c r="T610" s="980" t="s">
        <v>40</v>
      </c>
      <c r="U610" s="980"/>
      <c r="V610" s="23"/>
    </row>
    <row r="611" spans="1:22" s="16" customFormat="1" ht="19.5" customHeight="1" x14ac:dyDescent="0.2">
      <c r="A611" s="14"/>
      <c r="B611" s="992" t="s">
        <v>330</v>
      </c>
      <c r="C611" s="993"/>
      <c r="D611" s="993"/>
      <c r="E611" s="993"/>
      <c r="F611" s="993"/>
      <c r="G611" s="993"/>
      <c r="H611" s="993"/>
      <c r="I611" s="994"/>
      <c r="J611" s="832">
        <v>0</v>
      </c>
      <c r="K611" s="833"/>
      <c r="L611" s="833"/>
      <c r="M611" s="833"/>
      <c r="N611" s="833"/>
      <c r="O611" s="832">
        <v>0</v>
      </c>
      <c r="P611" s="833"/>
      <c r="Q611" s="833"/>
      <c r="R611" s="833"/>
      <c r="S611" s="833"/>
      <c r="T611" s="975">
        <v>0</v>
      </c>
      <c r="U611" s="975"/>
      <c r="V611" s="23"/>
    </row>
    <row r="612" spans="1:22" s="16" customFormat="1" ht="19.5" customHeight="1" x14ac:dyDescent="0.2">
      <c r="A612" s="5"/>
      <c r="B612" s="992" t="s">
        <v>331</v>
      </c>
      <c r="C612" s="993"/>
      <c r="D612" s="993"/>
      <c r="E612" s="993"/>
      <c r="F612" s="993"/>
      <c r="G612" s="993"/>
      <c r="H612" s="993"/>
      <c r="I612" s="994"/>
      <c r="J612" s="832">
        <f>'[1]4.NERACA'!I9</f>
        <v>91266800</v>
      </c>
      <c r="K612" s="833"/>
      <c r="L612" s="833"/>
      <c r="M612" s="833"/>
      <c r="N612" s="833"/>
      <c r="O612" s="832">
        <f>'[1]4.NERACA'!D9</f>
        <v>91266800</v>
      </c>
      <c r="P612" s="833"/>
      <c r="Q612" s="833"/>
      <c r="R612" s="833"/>
      <c r="S612" s="833"/>
      <c r="T612" s="981">
        <v>100</v>
      </c>
      <c r="U612" s="981"/>
      <c r="V612" s="23"/>
    </row>
    <row r="613" spans="1:22" s="16" customFormat="1" ht="19.5" customHeight="1" x14ac:dyDescent="0.2">
      <c r="A613" s="14"/>
      <c r="B613" s="817" t="s">
        <v>205</v>
      </c>
      <c r="C613" s="818"/>
      <c r="D613" s="818"/>
      <c r="E613" s="818"/>
      <c r="F613" s="818"/>
      <c r="G613" s="818"/>
      <c r="H613" s="818"/>
      <c r="I613" s="819"/>
      <c r="J613" s="823">
        <f>SUM(J611:N612)</f>
        <v>91266800</v>
      </c>
      <c r="K613" s="824"/>
      <c r="L613" s="824"/>
      <c r="M613" s="824"/>
      <c r="N613" s="824"/>
      <c r="O613" s="823">
        <f>SUM(O611:S612)</f>
        <v>91266800</v>
      </c>
      <c r="P613" s="824"/>
      <c r="Q613" s="824"/>
      <c r="R613" s="824"/>
      <c r="S613" s="824"/>
      <c r="T613" s="991">
        <v>100</v>
      </c>
      <c r="U613" s="991"/>
      <c r="V613" s="23"/>
    </row>
    <row r="614" spans="1:22" s="16" customFormat="1" ht="15.75" customHeight="1" x14ac:dyDescent="0.2">
      <c r="A614" s="14"/>
      <c r="B614" s="10"/>
      <c r="C614" s="154"/>
      <c r="D614" s="154"/>
      <c r="E614" s="154"/>
      <c r="F614" s="154"/>
      <c r="G614" s="154"/>
      <c r="H614" s="154"/>
      <c r="I614" s="154"/>
      <c r="J614" s="154"/>
      <c r="K614" s="154"/>
      <c r="L614" s="154"/>
      <c r="M614" s="154"/>
      <c r="N614" s="154"/>
      <c r="O614" s="154"/>
      <c r="P614" s="154"/>
      <c r="Q614" s="154"/>
      <c r="R614" s="154"/>
      <c r="S614" s="154"/>
      <c r="T614" s="154"/>
      <c r="U614" s="155"/>
      <c r="V614" s="23"/>
    </row>
    <row r="615" spans="1:22" s="16" customFormat="1" ht="16.5" customHeight="1" x14ac:dyDescent="0.2">
      <c r="A615" s="14"/>
      <c r="B615" s="10"/>
      <c r="C615" s="156" t="s">
        <v>49</v>
      </c>
      <c r="D615" s="411" t="s">
        <v>4</v>
      </c>
      <c r="E615" s="411"/>
      <c r="F615" s="411"/>
      <c r="G615" s="411"/>
      <c r="H615" s="411"/>
      <c r="I615" s="411"/>
      <c r="J615" s="411"/>
      <c r="K615" s="411"/>
      <c r="L615" s="411"/>
      <c r="M615" s="411"/>
      <c r="N615" s="411"/>
      <c r="O615" s="411"/>
      <c r="P615" s="411"/>
      <c r="Q615" s="411"/>
      <c r="R615" s="411"/>
      <c r="S615" s="411"/>
      <c r="T615" s="411"/>
      <c r="U615" s="411"/>
      <c r="V615" s="23"/>
    </row>
    <row r="616" spans="1:22" s="16" customFormat="1" ht="92.25" customHeight="1" x14ac:dyDescent="0.2">
      <c r="A616" s="14"/>
      <c r="C616" s="29"/>
      <c r="D616" s="407" t="str">
        <f>"Saldo Kas di Bendahara Pengeluaran TA "&amp;'[1]2.ISIAN DATA SKPD'!D11&amp;" dan "&amp;'[1]2.ISIAN DATA SKPD'!D12&amp;" adalah masing-masing sebesar Rp. "&amp;FIXED('[1]4.NERACA'!I10)&amp;" dan Rp. "&amp;FIXED('[1]4.NERACA'!D10)&amp;" yang merupakan kas yang dikuasai, dikelola dan berada di bawah tanggung jawab Bendahara Pengeluaran yang berasal dari sisa UP/TUP yang belum dipertanggung-jawabkan atau belum disetorkan ke Rekening Kas Daerah per tanggal neraca."</f>
        <v>Saldo Kas di Bendahara Pengeluaran TA 2018 dan 2017 adalah masing-masing sebesar Rp. 0,00 dan Rp. 0,00 yang merupakan kas yang dikuasai, dikelola dan berada di bawah tanggung jawab Bendahara Pengeluaran yang berasal dari sisa UP/TUP yang belum dipertanggung-jawabkan atau belum disetorkan ke Rekening Kas Daerah per tanggal neraca.</v>
      </c>
      <c r="E616" s="407"/>
      <c r="F616" s="407"/>
      <c r="G616" s="407"/>
      <c r="H616" s="407"/>
      <c r="I616" s="407"/>
      <c r="J616" s="407"/>
      <c r="K616" s="407"/>
      <c r="L616" s="407"/>
      <c r="M616" s="407"/>
      <c r="N616" s="407"/>
      <c r="O616" s="407"/>
      <c r="P616" s="407"/>
      <c r="Q616" s="407"/>
      <c r="R616" s="407"/>
      <c r="S616" s="407"/>
      <c r="T616" s="407"/>
      <c r="U616" s="407"/>
      <c r="V616" s="23"/>
    </row>
    <row r="617" spans="1:22" s="16" customFormat="1" ht="21.75" customHeight="1" x14ac:dyDescent="0.2">
      <c r="A617" s="14"/>
      <c r="C617" s="29"/>
      <c r="D617" s="407" t="s">
        <v>332</v>
      </c>
      <c r="E617" s="407"/>
      <c r="F617" s="407"/>
      <c r="G617" s="407"/>
      <c r="H617" s="407"/>
      <c r="I617" s="407"/>
      <c r="J617" s="407"/>
      <c r="K617" s="407"/>
      <c r="L617" s="407"/>
      <c r="M617" s="407"/>
      <c r="N617" s="407"/>
      <c r="O617" s="407"/>
      <c r="P617" s="407"/>
      <c r="Q617" s="407"/>
      <c r="R617" s="407"/>
      <c r="S617" s="407"/>
      <c r="T617" s="407"/>
      <c r="U617" s="407"/>
      <c r="V617" s="23"/>
    </row>
    <row r="618" spans="1:22" s="16" customFormat="1" ht="8.25" customHeight="1" x14ac:dyDescent="0.2">
      <c r="A618" s="14"/>
      <c r="C618" s="29"/>
      <c r="D618" s="77"/>
      <c r="E618" s="77"/>
      <c r="F618" s="77"/>
      <c r="G618" s="77"/>
      <c r="H618" s="77"/>
      <c r="I618" s="77"/>
      <c r="J618" s="77"/>
      <c r="K618" s="77"/>
      <c r="L618" s="77"/>
      <c r="M618" s="77"/>
      <c r="N618" s="77"/>
      <c r="O618" s="77"/>
      <c r="P618" s="77"/>
      <c r="Q618" s="77"/>
      <c r="R618" s="77"/>
      <c r="S618" s="77"/>
      <c r="T618" s="77"/>
      <c r="U618" s="77"/>
      <c r="V618" s="23"/>
    </row>
    <row r="619" spans="1:22" s="16" customFormat="1" ht="18.75" customHeight="1" x14ac:dyDescent="0.2">
      <c r="A619" s="14"/>
      <c r="B619" s="452" t="s">
        <v>333</v>
      </c>
      <c r="C619" s="452"/>
      <c r="D619" s="452"/>
      <c r="E619" s="452"/>
      <c r="F619" s="452"/>
      <c r="G619" s="452"/>
      <c r="H619" s="452"/>
      <c r="I619" s="452"/>
      <c r="J619" s="452"/>
      <c r="K619" s="452"/>
      <c r="L619" s="452"/>
      <c r="M619" s="452"/>
      <c r="N619" s="452"/>
      <c r="O619" s="452"/>
      <c r="P619" s="452"/>
      <c r="Q619" s="452"/>
      <c r="R619" s="452"/>
      <c r="S619" s="452"/>
      <c r="T619" s="452"/>
      <c r="U619" s="452"/>
      <c r="V619" s="23"/>
    </row>
    <row r="620" spans="1:22" s="16" customFormat="1" ht="22.5" customHeight="1" x14ac:dyDescent="0.2">
      <c r="A620" s="14"/>
      <c r="B620" s="838" t="s">
        <v>329</v>
      </c>
      <c r="C620" s="839"/>
      <c r="D620" s="839"/>
      <c r="E620" s="839"/>
      <c r="F620" s="839"/>
      <c r="G620" s="839"/>
      <c r="H620" s="839"/>
      <c r="I620" s="839"/>
      <c r="J620" s="839"/>
      <c r="K620" s="840"/>
      <c r="L620" s="844" t="str">
        <f>J610</f>
        <v>TA 2018</v>
      </c>
      <c r="M620" s="426"/>
      <c r="N620" s="426"/>
      <c r="O620" s="426"/>
      <c r="P620" s="427"/>
      <c r="Q620" s="425" t="str">
        <f>O610</f>
        <v>TA 2017</v>
      </c>
      <c r="R620" s="426"/>
      <c r="S620" s="426"/>
      <c r="T620" s="426"/>
      <c r="U620" s="427"/>
      <c r="V620" s="23"/>
    </row>
    <row r="621" spans="1:22" s="16" customFormat="1" ht="22.5" customHeight="1" x14ac:dyDescent="0.2">
      <c r="A621" s="14"/>
      <c r="B621" s="986" t="s">
        <v>330</v>
      </c>
      <c r="C621" s="987"/>
      <c r="D621" s="987"/>
      <c r="E621" s="987"/>
      <c r="F621" s="987"/>
      <c r="G621" s="987"/>
      <c r="H621" s="987"/>
      <c r="I621" s="987"/>
      <c r="J621" s="987"/>
      <c r="K621" s="988"/>
      <c r="L621" s="832">
        <v>0</v>
      </c>
      <c r="M621" s="833"/>
      <c r="N621" s="833"/>
      <c r="O621" s="833"/>
      <c r="P621" s="833"/>
      <c r="Q621" s="921">
        <v>0</v>
      </c>
      <c r="R621" s="921"/>
      <c r="S621" s="921"/>
      <c r="T621" s="921"/>
      <c r="U621" s="921"/>
      <c r="V621" s="23"/>
    </row>
    <row r="622" spans="1:22" s="16" customFormat="1" ht="20.25" customHeight="1" x14ac:dyDescent="0.2">
      <c r="A622" s="157"/>
      <c r="B622" s="986" t="s">
        <v>334</v>
      </c>
      <c r="C622" s="987"/>
      <c r="D622" s="987"/>
      <c r="E622" s="987"/>
      <c r="F622" s="987"/>
      <c r="G622" s="987"/>
      <c r="H622" s="987"/>
      <c r="I622" s="987"/>
      <c r="J622" s="987"/>
      <c r="K622" s="988"/>
      <c r="L622" s="832">
        <f>'[1]4.NERACA'!I10</f>
        <v>0</v>
      </c>
      <c r="M622" s="833"/>
      <c r="N622" s="833"/>
      <c r="O622" s="833"/>
      <c r="P622" s="833"/>
      <c r="Q622" s="921">
        <f>'[1]4.NERACA'!D10</f>
        <v>0</v>
      </c>
      <c r="R622" s="921"/>
      <c r="S622" s="921"/>
      <c r="T622" s="921"/>
      <c r="U622" s="921"/>
      <c r="V622" s="23"/>
    </row>
    <row r="623" spans="1:22" s="16" customFormat="1" ht="22.5" customHeight="1" x14ac:dyDescent="0.2">
      <c r="A623" s="14"/>
      <c r="B623" s="817" t="s">
        <v>205</v>
      </c>
      <c r="C623" s="818"/>
      <c r="D623" s="818"/>
      <c r="E623" s="818"/>
      <c r="F623" s="818"/>
      <c r="G623" s="818"/>
      <c r="H623" s="818"/>
      <c r="I623" s="818"/>
      <c r="J623" s="818"/>
      <c r="K623" s="819"/>
      <c r="L623" s="823">
        <f>SUM(L621:P622)</f>
        <v>0</v>
      </c>
      <c r="M623" s="824"/>
      <c r="N623" s="824"/>
      <c r="O623" s="824"/>
      <c r="P623" s="824"/>
      <c r="Q623" s="915">
        <f>SUM(Q621:U622)</f>
        <v>0</v>
      </c>
      <c r="R623" s="915"/>
      <c r="S623" s="915"/>
      <c r="T623" s="915"/>
      <c r="U623" s="915"/>
      <c r="V623" s="23"/>
    </row>
    <row r="624" spans="1:22" s="16" customFormat="1" ht="22.5" customHeight="1" x14ac:dyDescent="0.2">
      <c r="A624" s="14"/>
      <c r="B624" s="23"/>
      <c r="C624" s="23"/>
      <c r="D624" s="76"/>
      <c r="E624" s="77"/>
      <c r="F624" s="77"/>
      <c r="G624" s="77"/>
      <c r="H624" s="77"/>
      <c r="I624" s="77"/>
      <c r="J624" s="77"/>
      <c r="K624" s="77"/>
      <c r="L624" s="77"/>
      <c r="M624" s="77"/>
      <c r="N624" s="77"/>
      <c r="O624" s="77"/>
      <c r="P624" s="77"/>
      <c r="Q624" s="77"/>
      <c r="R624" s="77"/>
      <c r="S624" s="77"/>
      <c r="T624" s="37"/>
      <c r="U624" s="37"/>
      <c r="V624" s="23"/>
    </row>
    <row r="625" spans="1:22" s="16" customFormat="1" ht="16.5" customHeight="1" x14ac:dyDescent="0.2">
      <c r="A625" s="14"/>
      <c r="B625" s="10"/>
      <c r="C625" s="156" t="s">
        <v>170</v>
      </c>
      <c r="D625" s="411" t="s">
        <v>335</v>
      </c>
      <c r="E625" s="411"/>
      <c r="F625" s="411"/>
      <c r="G625" s="411"/>
      <c r="H625" s="411"/>
      <c r="I625" s="411"/>
      <c r="J625" s="411"/>
      <c r="K625" s="411"/>
      <c r="L625" s="411"/>
      <c r="M625" s="411"/>
      <c r="N625" s="411"/>
      <c r="O625" s="411"/>
      <c r="P625" s="411"/>
      <c r="Q625" s="411"/>
      <c r="R625" s="411"/>
      <c r="S625" s="411"/>
      <c r="T625" s="411"/>
      <c r="U625" s="411"/>
      <c r="V625" s="23"/>
    </row>
    <row r="626" spans="1:22" s="16" customFormat="1" ht="49.5" customHeight="1" x14ac:dyDescent="0.2">
      <c r="A626" s="14"/>
      <c r="C626" s="29"/>
      <c r="D626" s="407" t="str">
        <f>"Saldo Kas Blud per tanggal "&amp;'[1]2.ISIAN DATA SKPD'!D8&amp;" dan "&amp;'[1]2.ISIAN DATA SKPD'!D12&amp;" masing-masing sebesar Rp. "&amp;FIXED(J635)&amp;" dan Rp. "&amp;FIXED(O635)&amp;" mengalami kenaikan/penurunan sebesar "&amp;T635&amp;"%."</f>
        <v>Saldo Kas Blud per tanggal 31 Desember 2018 dan 2017 masing-masing sebesar Rp. 0,00 dan Rp. 0,00 mengalami kenaikan/penurunan sebesar 0%.</v>
      </c>
      <c r="E626" s="407"/>
      <c r="F626" s="407"/>
      <c r="G626" s="407"/>
      <c r="H626" s="407"/>
      <c r="I626" s="407"/>
      <c r="J626" s="407"/>
      <c r="K626" s="407"/>
      <c r="L626" s="407"/>
      <c r="M626" s="407"/>
      <c r="N626" s="407"/>
      <c r="O626" s="407"/>
      <c r="P626" s="407"/>
      <c r="Q626" s="407"/>
      <c r="R626" s="407"/>
      <c r="S626" s="407"/>
      <c r="T626" s="407"/>
      <c r="U626" s="407"/>
      <c r="V626" s="23"/>
    </row>
    <row r="627" spans="1:22" s="16" customFormat="1" ht="47.25" customHeight="1" x14ac:dyDescent="0.2">
      <c r="A627" s="14"/>
      <c r="C627" s="29"/>
      <c r="D627" s="407" t="s">
        <v>336</v>
      </c>
      <c r="E627" s="407"/>
      <c r="F627" s="407"/>
      <c r="G627" s="407"/>
      <c r="H627" s="407"/>
      <c r="I627" s="407"/>
      <c r="J627" s="407"/>
      <c r="K627" s="407"/>
      <c r="L627" s="407"/>
      <c r="M627" s="407"/>
      <c r="N627" s="407"/>
      <c r="O627" s="407"/>
      <c r="P627" s="407"/>
      <c r="Q627" s="407"/>
      <c r="R627" s="407"/>
      <c r="S627" s="407"/>
      <c r="T627" s="407"/>
      <c r="U627" s="407"/>
      <c r="V627" s="23"/>
    </row>
    <row r="628" spans="1:22" s="16" customFormat="1" ht="47.25" customHeight="1" x14ac:dyDescent="0.2">
      <c r="A628" s="14"/>
      <c r="C628" s="29"/>
      <c r="D628" s="77"/>
      <c r="E628" s="77"/>
      <c r="F628" s="77"/>
      <c r="G628" s="77"/>
      <c r="H628" s="77"/>
      <c r="I628" s="77"/>
      <c r="J628" s="77"/>
      <c r="K628" s="77"/>
      <c r="L628" s="77"/>
      <c r="M628" s="77"/>
      <c r="N628" s="77"/>
      <c r="O628" s="77"/>
      <c r="P628" s="77"/>
      <c r="Q628" s="77"/>
      <c r="R628" s="77"/>
      <c r="S628" s="77"/>
      <c r="T628" s="77"/>
      <c r="U628" s="77"/>
      <c r="V628" s="23"/>
    </row>
    <row r="629" spans="1:22" s="16" customFormat="1" ht="47.25" customHeight="1" x14ac:dyDescent="0.2">
      <c r="A629" s="14"/>
      <c r="C629" s="29"/>
      <c r="D629" s="77"/>
      <c r="E629" s="77"/>
      <c r="F629" s="77"/>
      <c r="G629" s="77"/>
      <c r="H629" s="77"/>
      <c r="I629" s="77"/>
      <c r="J629" s="77"/>
      <c r="K629" s="77"/>
      <c r="L629" s="77"/>
      <c r="M629" s="77"/>
      <c r="N629" s="77"/>
      <c r="O629" s="77"/>
      <c r="P629" s="77"/>
      <c r="Q629" s="77"/>
      <c r="R629" s="77"/>
      <c r="S629" s="77"/>
      <c r="T629" s="77"/>
      <c r="U629" s="77"/>
      <c r="V629" s="23"/>
    </row>
    <row r="630" spans="1:22" s="16" customFormat="1" ht="21.75" customHeight="1" x14ac:dyDescent="0.2">
      <c r="A630" s="14"/>
      <c r="C630" s="29"/>
      <c r="D630" s="77"/>
      <c r="E630" s="77"/>
      <c r="F630" s="77"/>
      <c r="G630" s="77"/>
      <c r="H630" s="77"/>
      <c r="I630" s="77"/>
      <c r="J630" s="77"/>
      <c r="K630" s="77"/>
      <c r="L630" s="77"/>
      <c r="M630" s="77"/>
      <c r="N630" s="77"/>
      <c r="O630" s="77"/>
      <c r="P630" s="77"/>
      <c r="Q630" s="77"/>
      <c r="R630" s="77"/>
      <c r="S630" s="77"/>
      <c r="T630" s="77"/>
      <c r="U630" s="77"/>
      <c r="V630" s="23"/>
    </row>
    <row r="631" spans="1:22" s="16" customFormat="1" ht="22.5" customHeight="1" x14ac:dyDescent="0.2">
      <c r="A631" s="14"/>
      <c r="B631" s="452" t="s">
        <v>337</v>
      </c>
      <c r="C631" s="452"/>
      <c r="D631" s="452"/>
      <c r="E631" s="452"/>
      <c r="F631" s="452"/>
      <c r="G631" s="452"/>
      <c r="H631" s="452"/>
      <c r="I631" s="452"/>
      <c r="J631" s="452"/>
      <c r="K631" s="452"/>
      <c r="L631" s="452"/>
      <c r="M631" s="452"/>
      <c r="N631" s="452"/>
      <c r="O631" s="452"/>
      <c r="P631" s="452"/>
      <c r="Q631" s="452"/>
      <c r="R631" s="452"/>
      <c r="S631" s="452"/>
      <c r="T631" s="452"/>
      <c r="U631" s="452"/>
      <c r="V631" s="23"/>
    </row>
    <row r="632" spans="1:22" s="16" customFormat="1" ht="22.5" customHeight="1" x14ac:dyDescent="0.2">
      <c r="A632" s="14"/>
      <c r="B632" s="838" t="s">
        <v>329</v>
      </c>
      <c r="C632" s="839"/>
      <c r="D632" s="839"/>
      <c r="E632" s="839"/>
      <c r="F632" s="839"/>
      <c r="G632" s="839"/>
      <c r="H632" s="839"/>
      <c r="I632" s="840"/>
      <c r="J632" s="844" t="str">
        <f>L620</f>
        <v>TA 2018</v>
      </c>
      <c r="K632" s="845"/>
      <c r="L632" s="845"/>
      <c r="M632" s="845"/>
      <c r="N632" s="846"/>
      <c r="O632" s="425" t="str">
        <f>Q620</f>
        <v>TA 2017</v>
      </c>
      <c r="P632" s="426"/>
      <c r="Q632" s="426"/>
      <c r="R632" s="426"/>
      <c r="S632" s="427"/>
      <c r="T632" s="989" t="s">
        <v>40</v>
      </c>
      <c r="U632" s="990"/>
      <c r="V632" s="23"/>
    </row>
    <row r="633" spans="1:22" s="16" customFormat="1" ht="16.5" customHeight="1" x14ac:dyDescent="0.2">
      <c r="A633" s="982"/>
      <c r="B633" s="983" t="s">
        <v>338</v>
      </c>
      <c r="C633" s="984"/>
      <c r="D633" s="984"/>
      <c r="E633" s="984"/>
      <c r="F633" s="984"/>
      <c r="G633" s="984"/>
      <c r="H633" s="984"/>
      <c r="I633" s="985"/>
      <c r="J633" s="832">
        <v>0</v>
      </c>
      <c r="K633" s="833"/>
      <c r="L633" s="833"/>
      <c r="M633" s="833"/>
      <c r="N633" s="833"/>
      <c r="O633" s="832">
        <v>0</v>
      </c>
      <c r="P633" s="833"/>
      <c r="Q633" s="833"/>
      <c r="R633" s="833"/>
      <c r="S633" s="833"/>
      <c r="T633" s="981">
        <v>0</v>
      </c>
      <c r="U633" s="981"/>
      <c r="V633" s="23"/>
    </row>
    <row r="634" spans="1:22" s="16" customFormat="1" ht="16.5" customHeight="1" x14ac:dyDescent="0.2">
      <c r="A634" s="982"/>
      <c r="B634" s="986" t="s">
        <v>339</v>
      </c>
      <c r="C634" s="987"/>
      <c r="D634" s="987"/>
      <c r="E634" s="987"/>
      <c r="F634" s="987"/>
      <c r="G634" s="987"/>
      <c r="H634" s="987"/>
      <c r="I634" s="988"/>
      <c r="J634" s="832">
        <v>0</v>
      </c>
      <c r="K634" s="833"/>
      <c r="L634" s="833"/>
      <c r="M634" s="833"/>
      <c r="N634" s="833"/>
      <c r="O634" s="832">
        <v>0</v>
      </c>
      <c r="P634" s="833"/>
      <c r="Q634" s="833"/>
      <c r="R634" s="833"/>
      <c r="S634" s="833"/>
      <c r="T634" s="981">
        <v>0</v>
      </c>
      <c r="U634" s="981"/>
      <c r="V634" s="23"/>
    </row>
    <row r="635" spans="1:22" s="16" customFormat="1" ht="22.5" customHeight="1" x14ac:dyDescent="0.2">
      <c r="A635" s="14"/>
      <c r="B635" s="976" t="s">
        <v>205</v>
      </c>
      <c r="C635" s="977"/>
      <c r="D635" s="977"/>
      <c r="E635" s="977"/>
      <c r="F635" s="977"/>
      <c r="G635" s="977"/>
      <c r="H635" s="977"/>
      <c r="I635" s="978"/>
      <c r="J635" s="823">
        <f>SUM(J633:N634)</f>
        <v>0</v>
      </c>
      <c r="K635" s="824"/>
      <c r="L635" s="824"/>
      <c r="M635" s="824"/>
      <c r="N635" s="824"/>
      <c r="O635" s="823">
        <f>SUM(O633:S634)</f>
        <v>0</v>
      </c>
      <c r="P635" s="824"/>
      <c r="Q635" s="824"/>
      <c r="R635" s="824"/>
      <c r="S635" s="824"/>
      <c r="T635" s="981">
        <v>0</v>
      </c>
      <c r="U635" s="981"/>
      <c r="V635" s="23"/>
    </row>
    <row r="636" spans="1:22" s="16" customFormat="1" ht="22.5" customHeight="1" x14ac:dyDescent="0.2">
      <c r="A636" s="14"/>
      <c r="B636" s="23"/>
      <c r="C636" s="23"/>
      <c r="D636" s="23"/>
      <c r="E636" s="23"/>
      <c r="F636" s="23"/>
      <c r="G636" s="23"/>
      <c r="H636" s="23"/>
      <c r="I636" s="23"/>
      <c r="J636" s="133"/>
      <c r="K636" s="133"/>
      <c r="L636" s="133"/>
      <c r="M636" s="133"/>
      <c r="N636" s="133"/>
      <c r="O636" s="133"/>
      <c r="P636" s="133"/>
      <c r="Q636" s="133"/>
      <c r="R636" s="133"/>
      <c r="S636" s="133"/>
      <c r="T636" s="27"/>
      <c r="U636" s="27"/>
      <c r="V636" s="23"/>
    </row>
    <row r="637" spans="1:22" s="16" customFormat="1" ht="15" customHeight="1" x14ac:dyDescent="0.2">
      <c r="A637" s="14"/>
      <c r="B637" s="23"/>
      <c r="C637" s="411" t="s">
        <v>340</v>
      </c>
      <c r="D637" s="893"/>
      <c r="E637" s="893"/>
      <c r="F637" s="893"/>
      <c r="G637" s="893"/>
      <c r="H637" s="893"/>
      <c r="I637" s="893"/>
      <c r="J637" s="893"/>
      <c r="K637" s="893"/>
      <c r="L637" s="893"/>
      <c r="M637" s="893"/>
      <c r="N637" s="893"/>
      <c r="O637" s="893"/>
      <c r="P637" s="893"/>
      <c r="Q637" s="893"/>
      <c r="R637" s="893"/>
      <c r="S637" s="893"/>
      <c r="T637" s="893"/>
      <c r="U637" s="893"/>
      <c r="V637" s="23"/>
    </row>
    <row r="638" spans="1:22" s="16" customFormat="1" ht="6.75" customHeight="1" x14ac:dyDescent="0.2">
      <c r="A638" s="14"/>
      <c r="B638" s="23"/>
      <c r="C638" s="158"/>
      <c r="D638" s="159"/>
      <c r="E638" s="159"/>
      <c r="F638" s="159"/>
      <c r="G638" s="159"/>
      <c r="H638" s="159"/>
      <c r="I638" s="159"/>
      <c r="J638" s="159"/>
      <c r="K638" s="159"/>
      <c r="L638" s="159"/>
      <c r="M638" s="159"/>
      <c r="N638" s="159"/>
      <c r="O638" s="159"/>
      <c r="P638" s="159"/>
      <c r="Q638" s="159"/>
      <c r="R638" s="159"/>
      <c r="S638" s="159"/>
      <c r="T638" s="159"/>
      <c r="U638" s="159"/>
      <c r="V638" s="23"/>
    </row>
    <row r="639" spans="1:22" s="16" customFormat="1" ht="22.5" customHeight="1" x14ac:dyDescent="0.2">
      <c r="A639" s="14"/>
      <c r="B639" s="10"/>
      <c r="C639" s="411" t="s">
        <v>341</v>
      </c>
      <c r="D639" s="893"/>
      <c r="E639" s="893"/>
      <c r="F639" s="893"/>
      <c r="G639" s="893"/>
      <c r="H639" s="893"/>
      <c r="I639" s="893"/>
      <c r="J639" s="893"/>
      <c r="K639" s="893"/>
      <c r="L639" s="893"/>
      <c r="M639" s="893"/>
      <c r="N639" s="893"/>
      <c r="O639" s="893"/>
      <c r="P639" s="893"/>
      <c r="Q639" s="893"/>
      <c r="R639" s="893"/>
      <c r="S639" s="893"/>
      <c r="T639" s="893"/>
      <c r="U639" s="893"/>
      <c r="V639" s="23"/>
    </row>
    <row r="640" spans="1:22" s="16" customFormat="1" ht="48.75" customHeight="1" x14ac:dyDescent="0.2">
      <c r="A640" s="14"/>
      <c r="C640" s="408" t="str">
        <f>"Saldo  Piutang Pendapatan per tanggal "&amp;'[1]2.ISIAN DATA SKPD'!D8&amp;" dan "&amp;'[1]2.ISIAN DATA SKPD'!D12&amp;"  masing-masing adalah sebesar Rp. "&amp;FIXED(J650)&amp;" dan Rp. "&amp;FIXED(O650)&amp;" atau mengalami kenaikan sebesar "&amp;FIXED(T650)&amp;"%."</f>
        <v>Saldo  Piutang Pendapatan per tanggal 31 Desember 2018 dan 2017  masing-masing adalah sebesar Rp. 10.616.000,00 dan Rp. 12.984.000,00 atau mengalami kenaikan sebesar 81,76%.</v>
      </c>
      <c r="D640" s="408"/>
      <c r="E640" s="408"/>
      <c r="F640" s="408"/>
      <c r="G640" s="408"/>
      <c r="H640" s="408"/>
      <c r="I640" s="408"/>
      <c r="J640" s="408"/>
      <c r="K640" s="408"/>
      <c r="L640" s="408"/>
      <c r="M640" s="408"/>
      <c r="N640" s="408"/>
      <c r="O640" s="408"/>
      <c r="P640" s="408"/>
      <c r="Q640" s="408"/>
      <c r="R640" s="408"/>
      <c r="S640" s="408"/>
      <c r="T640" s="408"/>
      <c r="U640" s="408"/>
      <c r="V640" s="23"/>
    </row>
    <row r="641" spans="1:22" s="16" customFormat="1" ht="60.75" customHeight="1" x14ac:dyDescent="0.2">
      <c r="A641" s="14"/>
      <c r="C641" s="407" t="s">
        <v>342</v>
      </c>
      <c r="D641" s="407"/>
      <c r="E641" s="407"/>
      <c r="F641" s="407"/>
      <c r="G641" s="407"/>
      <c r="H641" s="407"/>
      <c r="I641" s="407"/>
      <c r="J641" s="407"/>
      <c r="K641" s="407"/>
      <c r="L641" s="407"/>
      <c r="M641" s="407"/>
      <c r="N641" s="407"/>
      <c r="O641" s="407"/>
      <c r="P641" s="407"/>
      <c r="Q641" s="407"/>
      <c r="R641" s="407"/>
      <c r="S641" s="407"/>
      <c r="T641" s="407"/>
      <c r="U641" s="407"/>
      <c r="V641" s="23"/>
    </row>
    <row r="642" spans="1:22" s="16" customFormat="1" ht="10.5" customHeight="1" x14ac:dyDescent="0.2">
      <c r="A642" s="14"/>
      <c r="C642" s="77"/>
      <c r="D642" s="77"/>
      <c r="E642" s="77"/>
      <c r="F642" s="77"/>
      <c r="G642" s="77"/>
      <c r="H642" s="77"/>
      <c r="I642" s="77"/>
      <c r="J642" s="77"/>
      <c r="K642" s="77"/>
      <c r="L642" s="77"/>
      <c r="M642" s="77"/>
      <c r="N642" s="77"/>
      <c r="O642" s="77"/>
      <c r="P642" s="77"/>
      <c r="Q642" s="77"/>
      <c r="R642" s="77"/>
      <c r="S642" s="77"/>
      <c r="T642" s="77"/>
      <c r="U642" s="77"/>
      <c r="V642" s="23"/>
    </row>
    <row r="643" spans="1:22" s="16" customFormat="1" ht="17.25" customHeight="1" x14ac:dyDescent="0.2">
      <c r="A643" s="14"/>
      <c r="B643" s="452" t="s">
        <v>343</v>
      </c>
      <c r="C643" s="452"/>
      <c r="D643" s="452"/>
      <c r="E643" s="452"/>
      <c r="F643" s="452"/>
      <c r="G643" s="452"/>
      <c r="H643" s="452"/>
      <c r="I643" s="452"/>
      <c r="J643" s="452"/>
      <c r="K643" s="452"/>
      <c r="L643" s="452"/>
      <c r="M643" s="452"/>
      <c r="N643" s="452"/>
      <c r="O643" s="452"/>
      <c r="P643" s="452"/>
      <c r="Q643" s="452"/>
      <c r="R643" s="452"/>
      <c r="S643" s="452"/>
      <c r="T643" s="452"/>
      <c r="U643" s="452"/>
      <c r="V643" s="23"/>
    </row>
    <row r="644" spans="1:22" s="16" customFormat="1" ht="15.75" customHeight="1" x14ac:dyDescent="0.2">
      <c r="A644" s="14"/>
      <c r="B644" s="838" t="s">
        <v>329</v>
      </c>
      <c r="C644" s="839"/>
      <c r="D644" s="839"/>
      <c r="E644" s="839"/>
      <c r="F644" s="839"/>
      <c r="G644" s="839"/>
      <c r="H644" s="839"/>
      <c r="I644" s="840"/>
      <c r="J644" s="844" t="str">
        <f>J632</f>
        <v>TA 2018</v>
      </c>
      <c r="K644" s="845"/>
      <c r="L644" s="845"/>
      <c r="M644" s="845"/>
      <c r="N644" s="846"/>
      <c r="O644" s="425" t="str">
        <f>O632</f>
        <v>TA 2017</v>
      </c>
      <c r="P644" s="426"/>
      <c r="Q644" s="426"/>
      <c r="R644" s="426"/>
      <c r="S644" s="427"/>
      <c r="T644" s="980" t="s">
        <v>40</v>
      </c>
      <c r="U644" s="980"/>
      <c r="V644" s="23"/>
    </row>
    <row r="645" spans="1:22" s="16" customFormat="1" ht="14.25" customHeight="1" x14ac:dyDescent="0.2">
      <c r="A645" s="14"/>
      <c r="B645" s="630" t="str">
        <f>'[1]4.NERACA'!C23</f>
        <v>Piutang Pajak</v>
      </c>
      <c r="C645" s="631"/>
      <c r="D645" s="631"/>
      <c r="E645" s="631"/>
      <c r="F645" s="631"/>
      <c r="G645" s="631"/>
      <c r="H645" s="631"/>
      <c r="I645" s="632"/>
      <c r="J645" s="832">
        <f>'[1]4.NERACA'!I23</f>
        <v>0</v>
      </c>
      <c r="K645" s="833"/>
      <c r="L645" s="833"/>
      <c r="M645" s="833"/>
      <c r="N645" s="833"/>
      <c r="O645" s="832">
        <f>'[1]4.NERACA'!D23</f>
        <v>0</v>
      </c>
      <c r="P645" s="833"/>
      <c r="Q645" s="833"/>
      <c r="R645" s="833"/>
      <c r="S645" s="833"/>
      <c r="T645" s="975">
        <v>0</v>
      </c>
      <c r="U645" s="975"/>
      <c r="V645" s="23"/>
    </row>
    <row r="646" spans="1:22" s="16" customFormat="1" ht="14.25" customHeight="1" x14ac:dyDescent="0.2">
      <c r="A646" s="14"/>
      <c r="B646" s="630" t="str">
        <f>'[1]4.NERACA'!C24</f>
        <v>Piutang Retribusi</v>
      </c>
      <c r="C646" s="631"/>
      <c r="D646" s="631"/>
      <c r="E646" s="631"/>
      <c r="F646" s="631"/>
      <c r="G646" s="631"/>
      <c r="H646" s="631"/>
      <c r="I646" s="632"/>
      <c r="J646" s="832">
        <f>'[1]4.NERACA'!I24</f>
        <v>10616000</v>
      </c>
      <c r="K646" s="833"/>
      <c r="L646" s="833"/>
      <c r="M646" s="833"/>
      <c r="N646" s="833"/>
      <c r="O646" s="832">
        <f>'[1]4.NERACA'!D24</f>
        <v>12984000</v>
      </c>
      <c r="P646" s="833"/>
      <c r="Q646" s="833"/>
      <c r="R646" s="833"/>
      <c r="S646" s="833"/>
      <c r="T646" s="975">
        <f>J646/O646*100</f>
        <v>81.762168823166974</v>
      </c>
      <c r="U646" s="975"/>
      <c r="V646" s="23"/>
    </row>
    <row r="647" spans="1:22" s="16" customFormat="1" ht="32.25" customHeight="1" x14ac:dyDescent="0.2">
      <c r="A647" s="14"/>
      <c r="B647" s="630" t="str">
        <f>'[1]4.NERACA'!C25</f>
        <v>Piutang Hasil Pengelolaan Kekayaan Daerah yang Dipisahkan</v>
      </c>
      <c r="C647" s="631"/>
      <c r="D647" s="631"/>
      <c r="E647" s="631"/>
      <c r="F647" s="631"/>
      <c r="G647" s="631"/>
      <c r="H647" s="631"/>
      <c r="I647" s="632"/>
      <c r="J647" s="832">
        <f>'[1]4.NERACA'!I25</f>
        <v>0</v>
      </c>
      <c r="K647" s="833"/>
      <c r="L647" s="833"/>
      <c r="M647" s="833"/>
      <c r="N647" s="833"/>
      <c r="O647" s="832">
        <f>'[1]4.NERACA'!D25</f>
        <v>0</v>
      </c>
      <c r="P647" s="833"/>
      <c r="Q647" s="833"/>
      <c r="R647" s="833"/>
      <c r="S647" s="833"/>
      <c r="T647" s="975">
        <v>0</v>
      </c>
      <c r="U647" s="975"/>
      <c r="V647" s="23"/>
    </row>
    <row r="648" spans="1:22" s="16" customFormat="1" ht="27.75" customHeight="1" x14ac:dyDescent="0.2">
      <c r="A648" s="14"/>
      <c r="B648" s="630" t="str">
        <f>'[1]4.NERACA'!C26</f>
        <v>Piutang Lain-lain PAD yang Sah</v>
      </c>
      <c r="C648" s="631"/>
      <c r="D648" s="631"/>
      <c r="E648" s="631"/>
      <c r="F648" s="631"/>
      <c r="G648" s="631"/>
      <c r="H648" s="631"/>
      <c r="I648" s="632"/>
      <c r="J648" s="832">
        <f>'[1]4.NERACA'!I26</f>
        <v>0</v>
      </c>
      <c r="K648" s="833"/>
      <c r="L648" s="833"/>
      <c r="M648" s="833"/>
      <c r="N648" s="833"/>
      <c r="O648" s="832">
        <f>'[1]4.NERACA'!D26</f>
        <v>0</v>
      </c>
      <c r="P648" s="833"/>
      <c r="Q648" s="833"/>
      <c r="R648" s="833"/>
      <c r="S648" s="833"/>
      <c r="T648" s="975">
        <v>0</v>
      </c>
      <c r="U648" s="975"/>
      <c r="V648" s="23"/>
    </row>
    <row r="649" spans="1:22" s="16" customFormat="1" ht="14.25" customHeight="1" x14ac:dyDescent="0.2">
      <c r="A649" s="14"/>
      <c r="B649" s="630" t="str">
        <f>'[1]4.NERACA'!C27</f>
        <v>Piutang Pendapatan Lainnya</v>
      </c>
      <c r="C649" s="631"/>
      <c r="D649" s="631"/>
      <c r="E649" s="631"/>
      <c r="F649" s="631"/>
      <c r="G649" s="631"/>
      <c r="H649" s="631"/>
      <c r="I649" s="632"/>
      <c r="J649" s="832">
        <f>'[1]4.NERACA'!I27</f>
        <v>0</v>
      </c>
      <c r="K649" s="833"/>
      <c r="L649" s="833"/>
      <c r="M649" s="833"/>
      <c r="N649" s="833"/>
      <c r="O649" s="832">
        <f>'[1]4.NERACA'!D27</f>
        <v>0</v>
      </c>
      <c r="P649" s="833"/>
      <c r="Q649" s="833"/>
      <c r="R649" s="833"/>
      <c r="S649" s="833"/>
      <c r="T649" s="975">
        <v>0</v>
      </c>
      <c r="U649" s="975"/>
      <c r="V649" s="23"/>
    </row>
    <row r="650" spans="1:22" s="16" customFormat="1" ht="22.5" customHeight="1" x14ac:dyDescent="0.2">
      <c r="A650" s="14"/>
      <c r="B650" s="976" t="s">
        <v>205</v>
      </c>
      <c r="C650" s="977"/>
      <c r="D650" s="977"/>
      <c r="E650" s="977"/>
      <c r="F650" s="977"/>
      <c r="G650" s="977"/>
      <c r="H650" s="977"/>
      <c r="I650" s="978"/>
      <c r="J650" s="823">
        <f>SUM(J645:N649)</f>
        <v>10616000</v>
      </c>
      <c r="K650" s="824"/>
      <c r="L650" s="824"/>
      <c r="M650" s="824"/>
      <c r="N650" s="824"/>
      <c r="O650" s="823">
        <f>SUM(O645:S649)</f>
        <v>12984000</v>
      </c>
      <c r="P650" s="824"/>
      <c r="Q650" s="824"/>
      <c r="R650" s="824"/>
      <c r="S650" s="824"/>
      <c r="T650" s="979">
        <f>J650/O650*100</f>
        <v>81.762168823166974</v>
      </c>
      <c r="U650" s="979"/>
      <c r="V650" s="23"/>
    </row>
    <row r="651" spans="1:22" s="16" customFormat="1" ht="15" customHeight="1" x14ac:dyDescent="0.2">
      <c r="A651" s="14"/>
      <c r="B651" s="62"/>
      <c r="C651" s="62"/>
      <c r="D651" s="62"/>
      <c r="E651" s="62"/>
      <c r="F651" s="62"/>
      <c r="G651" s="62"/>
      <c r="H651" s="62"/>
      <c r="I651" s="62"/>
      <c r="J651" s="62"/>
      <c r="K651" s="62"/>
      <c r="L651" s="133"/>
      <c r="M651" s="133"/>
      <c r="N651" s="133"/>
      <c r="O651" s="133"/>
      <c r="P651" s="133"/>
      <c r="Q651" s="133"/>
      <c r="R651" s="133"/>
      <c r="S651" s="133"/>
      <c r="T651" s="133"/>
      <c r="U651" s="133"/>
      <c r="V651" s="23"/>
    </row>
    <row r="652" spans="1:22" s="16" customFormat="1" ht="18" customHeight="1" x14ac:dyDescent="0.2">
      <c r="A652" s="14"/>
      <c r="C652" s="407" t="s">
        <v>344</v>
      </c>
      <c r="D652" s="407"/>
      <c r="E652" s="407"/>
      <c r="F652" s="407"/>
      <c r="G652" s="407"/>
      <c r="H652" s="407"/>
      <c r="I652" s="407"/>
      <c r="J652" s="407"/>
      <c r="K652" s="407"/>
      <c r="L652" s="407"/>
      <c r="M652" s="407"/>
      <c r="N652" s="407"/>
      <c r="O652" s="407"/>
      <c r="P652" s="407"/>
      <c r="Q652" s="407"/>
      <c r="R652" s="407"/>
      <c r="S652" s="407"/>
      <c r="T652" s="407"/>
      <c r="U652" s="407"/>
      <c r="V652" s="23"/>
    </row>
    <row r="653" spans="1:22" s="16" customFormat="1" ht="18" customHeight="1" x14ac:dyDescent="0.2">
      <c r="A653" s="14"/>
      <c r="B653" s="62"/>
      <c r="C653" s="160" t="s">
        <v>47</v>
      </c>
      <c r="D653" s="955" t="s">
        <v>345</v>
      </c>
      <c r="E653" s="955"/>
      <c r="F653" s="955"/>
      <c r="G653" s="955"/>
      <c r="H653" s="955"/>
      <c r="I653" s="955"/>
      <c r="J653" s="955"/>
      <c r="K653" s="955"/>
      <c r="L653" s="955"/>
      <c r="M653" s="955"/>
      <c r="N653" s="955"/>
      <c r="O653" s="955"/>
      <c r="P653" s="955"/>
      <c r="Q653" s="955"/>
      <c r="R653" s="955"/>
      <c r="S653" s="955"/>
      <c r="T653" s="955"/>
      <c r="U653" s="955"/>
      <c r="V653" s="23"/>
    </row>
    <row r="654" spans="1:22" s="16" customFormat="1" ht="76.5" customHeight="1" x14ac:dyDescent="0.2">
      <c r="A654" s="14"/>
      <c r="C654" s="29"/>
      <c r="D654" s="407" t="str">
        <f>"Piutang Pajak Daerah per "&amp;'[1]2.ISIAN DATA SKPD'!D8&amp;" sebesar Rp. "&amp;FIXED(R664)&amp;" adalah hak Pemerintah daerah atas pendapatan pajak tahun berkenaan, yang sudah diterbitkan Surat Ketetapan Pajak Daerah (SKPD) Namun sampai tanggal  belum dibayar oleh Wajib Pajak bersangkutan  dengan rincian mutasi sebagai berikut :"</f>
        <v>Piutang Pajak Daerah per 31 Desember 2018 sebesar Rp. 0,00 adalah hak Pemerintah daerah atas pendapatan pajak tahun berkenaan, yang sudah diterbitkan Surat Ketetapan Pajak Daerah (SKPD) Namun sampai tanggal  belum dibayar oleh Wajib Pajak bersangkutan  dengan rincian mutasi sebagai berikut :</v>
      </c>
      <c r="E654" s="407"/>
      <c r="F654" s="407"/>
      <c r="G654" s="407"/>
      <c r="H654" s="407"/>
      <c r="I654" s="407"/>
      <c r="J654" s="407"/>
      <c r="K654" s="407"/>
      <c r="L654" s="407"/>
      <c r="M654" s="407"/>
      <c r="N654" s="407"/>
      <c r="O654" s="407"/>
      <c r="P654" s="407"/>
      <c r="Q654" s="407"/>
      <c r="R654" s="407"/>
      <c r="S654" s="407"/>
      <c r="T654" s="407"/>
      <c r="U654" s="407"/>
      <c r="V654" s="23"/>
    </row>
    <row r="655" spans="1:22" s="16" customFormat="1" ht="16.5" customHeight="1" x14ac:dyDescent="0.2">
      <c r="A655" s="14"/>
      <c r="B655" s="862" t="s">
        <v>346</v>
      </c>
      <c r="C655" s="864" t="s">
        <v>0</v>
      </c>
      <c r="D655" s="865"/>
      <c r="E655" s="866"/>
      <c r="F655" s="569" t="s">
        <v>347</v>
      </c>
      <c r="G655" s="570"/>
      <c r="H655" s="570"/>
      <c r="I655" s="571"/>
      <c r="J655" s="870" t="str">
        <f>"MUTASI  TA "&amp;'[1]2.ISIAN DATA SKPD'!D11&amp;""</f>
        <v>MUTASI  TA 2018</v>
      </c>
      <c r="K655" s="871"/>
      <c r="L655" s="871"/>
      <c r="M655" s="871"/>
      <c r="N655" s="871"/>
      <c r="O655" s="871"/>
      <c r="P655" s="871"/>
      <c r="Q655" s="872"/>
      <c r="R655" s="569" t="s">
        <v>348</v>
      </c>
      <c r="S655" s="570"/>
      <c r="T655" s="570"/>
      <c r="U655" s="571"/>
      <c r="V655" s="23"/>
    </row>
    <row r="656" spans="1:22" s="16" customFormat="1" ht="14.25" customHeight="1" x14ac:dyDescent="0.2">
      <c r="A656" s="14"/>
      <c r="B656" s="863"/>
      <c r="C656" s="867"/>
      <c r="D656" s="868"/>
      <c r="E656" s="869"/>
      <c r="F656" s="569">
        <f>'[1]2.ISIAN DATA SKPD'!D12</f>
        <v>2017</v>
      </c>
      <c r="G656" s="570"/>
      <c r="H656" s="570"/>
      <c r="I656" s="571"/>
      <c r="J656" s="789" t="s">
        <v>349</v>
      </c>
      <c r="K656" s="790"/>
      <c r="L656" s="790"/>
      <c r="M656" s="791"/>
      <c r="N656" s="569" t="s">
        <v>350</v>
      </c>
      <c r="O656" s="570"/>
      <c r="P656" s="570"/>
      <c r="Q656" s="571"/>
      <c r="R656" s="562">
        <f>'[1]2.ISIAN DATA SKPD'!D11</f>
        <v>2018</v>
      </c>
      <c r="S656" s="562"/>
      <c r="T656" s="562"/>
      <c r="U656" s="562"/>
      <c r="V656" s="23"/>
    </row>
    <row r="657" spans="1:22" s="16" customFormat="1" ht="15.75" customHeight="1" x14ac:dyDescent="0.2">
      <c r="A657" s="14"/>
      <c r="B657" s="161">
        <v>1</v>
      </c>
      <c r="C657" s="969" t="s">
        <v>351</v>
      </c>
      <c r="D657" s="970"/>
      <c r="E657" s="971"/>
      <c r="F657" s="811">
        <v>0</v>
      </c>
      <c r="G657" s="812"/>
      <c r="H657" s="812" t="s">
        <v>352</v>
      </c>
      <c r="I657" s="812"/>
      <c r="J657" s="814">
        <v>0</v>
      </c>
      <c r="K657" s="815" t="s">
        <v>353</v>
      </c>
      <c r="L657" s="815"/>
      <c r="M657" s="815"/>
      <c r="N657" s="811">
        <v>0</v>
      </c>
      <c r="O657" s="812" t="s">
        <v>353</v>
      </c>
      <c r="P657" s="812"/>
      <c r="Q657" s="812"/>
      <c r="R657" s="853">
        <f>F657+J657-N657:N657</f>
        <v>0</v>
      </c>
      <c r="S657" s="853"/>
      <c r="T657" s="853" t="s">
        <v>354</v>
      </c>
      <c r="U657" s="853"/>
      <c r="V657" s="23"/>
    </row>
    <row r="658" spans="1:22" s="16" customFormat="1" ht="15.75" customHeight="1" x14ac:dyDescent="0.2">
      <c r="A658" s="14"/>
      <c r="B658" s="161">
        <v>2</v>
      </c>
      <c r="C658" s="969" t="s">
        <v>355</v>
      </c>
      <c r="D658" s="970"/>
      <c r="E658" s="971"/>
      <c r="F658" s="811">
        <v>0</v>
      </c>
      <c r="G658" s="812"/>
      <c r="H658" s="812" t="s">
        <v>356</v>
      </c>
      <c r="I658" s="812"/>
      <c r="J658" s="814">
        <v>0</v>
      </c>
      <c r="K658" s="815" t="s">
        <v>357</v>
      </c>
      <c r="L658" s="815"/>
      <c r="M658" s="815"/>
      <c r="N658" s="811">
        <v>0</v>
      </c>
      <c r="O658" s="812" t="s">
        <v>357</v>
      </c>
      <c r="P658" s="812"/>
      <c r="Q658" s="812"/>
      <c r="R658" s="853">
        <f t="shared" ref="R658:R664" si="20">F658+J658-N658:N658</f>
        <v>0</v>
      </c>
      <c r="S658" s="853"/>
      <c r="T658" s="853" t="s">
        <v>358</v>
      </c>
      <c r="U658" s="853"/>
      <c r="V658" s="23"/>
    </row>
    <row r="659" spans="1:22" s="16" customFormat="1" ht="15.75" customHeight="1" x14ac:dyDescent="0.2">
      <c r="A659" s="14"/>
      <c r="B659" s="161">
        <v>3</v>
      </c>
      <c r="C659" s="969" t="s">
        <v>359</v>
      </c>
      <c r="D659" s="970"/>
      <c r="E659" s="971"/>
      <c r="F659" s="811">
        <v>0</v>
      </c>
      <c r="G659" s="812"/>
      <c r="H659" s="812" t="s">
        <v>360</v>
      </c>
      <c r="I659" s="812"/>
      <c r="J659" s="814">
        <v>0</v>
      </c>
      <c r="K659" s="815" t="s">
        <v>357</v>
      </c>
      <c r="L659" s="815"/>
      <c r="M659" s="815"/>
      <c r="N659" s="811">
        <v>0</v>
      </c>
      <c r="O659" s="812" t="s">
        <v>357</v>
      </c>
      <c r="P659" s="812"/>
      <c r="Q659" s="812"/>
      <c r="R659" s="853">
        <f t="shared" si="20"/>
        <v>0</v>
      </c>
      <c r="S659" s="853"/>
      <c r="T659" s="853" t="s">
        <v>361</v>
      </c>
      <c r="U659" s="853"/>
      <c r="V659" s="23"/>
    </row>
    <row r="660" spans="1:22" s="16" customFormat="1" ht="15.75" customHeight="1" x14ac:dyDescent="0.2">
      <c r="A660" s="14"/>
      <c r="B660" s="161">
        <v>4</v>
      </c>
      <c r="C660" s="969" t="s">
        <v>362</v>
      </c>
      <c r="D660" s="970"/>
      <c r="E660" s="971"/>
      <c r="F660" s="811">
        <v>0</v>
      </c>
      <c r="G660" s="812"/>
      <c r="H660" s="812" t="s">
        <v>363</v>
      </c>
      <c r="I660" s="812"/>
      <c r="J660" s="814">
        <v>0</v>
      </c>
      <c r="K660" s="815" t="s">
        <v>357</v>
      </c>
      <c r="L660" s="815"/>
      <c r="M660" s="815"/>
      <c r="N660" s="811">
        <v>0</v>
      </c>
      <c r="O660" s="812" t="s">
        <v>357</v>
      </c>
      <c r="P660" s="812"/>
      <c r="Q660" s="812"/>
      <c r="R660" s="853">
        <f t="shared" si="20"/>
        <v>0</v>
      </c>
      <c r="S660" s="853"/>
      <c r="T660" s="853" t="s">
        <v>364</v>
      </c>
      <c r="U660" s="853"/>
      <c r="V660" s="23"/>
    </row>
    <row r="661" spans="1:22" s="16" customFormat="1" ht="26.25" customHeight="1" x14ac:dyDescent="0.2">
      <c r="A661" s="14"/>
      <c r="B661" s="161">
        <v>5</v>
      </c>
      <c r="C661" s="949" t="s">
        <v>216</v>
      </c>
      <c r="D661" s="950"/>
      <c r="E661" s="951"/>
      <c r="F661" s="811">
        <v>0</v>
      </c>
      <c r="G661" s="812"/>
      <c r="H661" s="812" t="s">
        <v>365</v>
      </c>
      <c r="I661" s="812"/>
      <c r="J661" s="814">
        <v>0</v>
      </c>
      <c r="K661" s="815" t="s">
        <v>357</v>
      </c>
      <c r="L661" s="815"/>
      <c r="M661" s="815"/>
      <c r="N661" s="811">
        <v>0</v>
      </c>
      <c r="O661" s="812" t="s">
        <v>357</v>
      </c>
      <c r="P661" s="812"/>
      <c r="Q661" s="812"/>
      <c r="R661" s="853">
        <f t="shared" si="20"/>
        <v>0</v>
      </c>
      <c r="S661" s="853"/>
      <c r="T661" s="853" t="s">
        <v>366</v>
      </c>
      <c r="U661" s="853"/>
      <c r="V661" s="23"/>
    </row>
    <row r="662" spans="1:22" s="16" customFormat="1" ht="15.75" customHeight="1" x14ac:dyDescent="0.2">
      <c r="A662" s="14"/>
      <c r="B662" s="161">
        <v>6</v>
      </c>
      <c r="C662" s="969" t="s">
        <v>367</v>
      </c>
      <c r="D662" s="970"/>
      <c r="E662" s="971"/>
      <c r="F662" s="811">
        <v>0</v>
      </c>
      <c r="G662" s="812"/>
      <c r="H662" s="812" t="s">
        <v>368</v>
      </c>
      <c r="I662" s="812"/>
      <c r="J662" s="814">
        <v>0</v>
      </c>
      <c r="K662" s="815" t="s">
        <v>357</v>
      </c>
      <c r="L662" s="815"/>
      <c r="M662" s="815"/>
      <c r="N662" s="811">
        <v>0</v>
      </c>
      <c r="O662" s="812" t="s">
        <v>357</v>
      </c>
      <c r="P662" s="812"/>
      <c r="Q662" s="812"/>
      <c r="R662" s="853">
        <f t="shared" si="20"/>
        <v>0</v>
      </c>
      <c r="S662" s="853"/>
      <c r="T662" s="853" t="s">
        <v>369</v>
      </c>
      <c r="U662" s="853"/>
      <c r="V662" s="23"/>
    </row>
    <row r="663" spans="1:22" s="16" customFormat="1" ht="15.75" customHeight="1" x14ac:dyDescent="0.2">
      <c r="A663" s="14"/>
      <c r="B663" s="161">
        <v>7</v>
      </c>
      <c r="C663" s="972" t="s">
        <v>370</v>
      </c>
      <c r="D663" s="973"/>
      <c r="E663" s="974"/>
      <c r="F663" s="811">
        <v>0</v>
      </c>
      <c r="G663" s="812"/>
      <c r="H663" s="812" t="s">
        <v>371</v>
      </c>
      <c r="I663" s="812"/>
      <c r="J663" s="814">
        <v>0</v>
      </c>
      <c r="K663" s="815" t="s">
        <v>357</v>
      </c>
      <c r="L663" s="815"/>
      <c r="M663" s="815"/>
      <c r="N663" s="811">
        <v>0</v>
      </c>
      <c r="O663" s="812" t="s">
        <v>357</v>
      </c>
      <c r="P663" s="812"/>
      <c r="Q663" s="812"/>
      <c r="R663" s="853">
        <f t="shared" si="20"/>
        <v>0</v>
      </c>
      <c r="S663" s="853"/>
      <c r="T663" s="853" t="s">
        <v>372</v>
      </c>
      <c r="U663" s="853"/>
      <c r="V663" s="23"/>
    </row>
    <row r="664" spans="1:22" s="16" customFormat="1" ht="22.5" customHeight="1" x14ac:dyDescent="0.2">
      <c r="A664" s="14"/>
      <c r="B664" s="966" t="s">
        <v>205</v>
      </c>
      <c r="C664" s="967"/>
      <c r="D664" s="967"/>
      <c r="E664" s="968"/>
      <c r="F664" s="823">
        <f>SUM(F657:I663)</f>
        <v>0</v>
      </c>
      <c r="G664" s="824"/>
      <c r="H664" s="824" t="s">
        <v>368</v>
      </c>
      <c r="I664" s="824"/>
      <c r="J664" s="820">
        <f>SUM(J657:M663)</f>
        <v>0</v>
      </c>
      <c r="K664" s="821"/>
      <c r="L664" s="821" t="s">
        <v>368</v>
      </c>
      <c r="M664" s="821"/>
      <c r="N664" s="823">
        <f>SUM(N657:Q663)</f>
        <v>0</v>
      </c>
      <c r="O664" s="824"/>
      <c r="P664" s="824" t="s">
        <v>368</v>
      </c>
      <c r="Q664" s="824"/>
      <c r="R664" s="915">
        <f t="shared" si="20"/>
        <v>0</v>
      </c>
      <c r="S664" s="915"/>
      <c r="T664" s="915" t="s">
        <v>373</v>
      </c>
      <c r="U664" s="915"/>
      <c r="V664" s="23"/>
    </row>
    <row r="665" spans="1:22" s="16" customFormat="1" ht="15.75" customHeight="1" x14ac:dyDescent="0.2">
      <c r="A665" s="14"/>
      <c r="B665" s="162"/>
      <c r="C665" s="162"/>
      <c r="D665" s="162"/>
      <c r="E665" s="162"/>
      <c r="F665" s="163"/>
      <c r="G665" s="163"/>
      <c r="H665" s="163"/>
      <c r="I665" s="163"/>
      <c r="J665" s="163"/>
      <c r="K665" s="163"/>
      <c r="L665" s="163"/>
      <c r="M665" s="163"/>
      <c r="N665" s="163"/>
      <c r="O665" s="163"/>
      <c r="P665" s="163"/>
      <c r="Q665" s="163"/>
      <c r="R665" s="164"/>
      <c r="S665" s="164"/>
      <c r="T665" s="164"/>
      <c r="U665" s="164"/>
      <c r="V665" s="23"/>
    </row>
    <row r="666" spans="1:22" s="16" customFormat="1" ht="22.5" customHeight="1" x14ac:dyDescent="0.2">
      <c r="A666" s="14"/>
      <c r="B666" s="62"/>
      <c r="C666" s="160" t="s">
        <v>49</v>
      </c>
      <c r="D666" s="955" t="s">
        <v>374</v>
      </c>
      <c r="E666" s="955"/>
      <c r="F666" s="955"/>
      <c r="G666" s="955"/>
      <c r="H666" s="955"/>
      <c r="I666" s="955"/>
      <c r="J666" s="955"/>
      <c r="K666" s="955"/>
      <c r="L666" s="955"/>
      <c r="M666" s="955"/>
      <c r="N666" s="955"/>
      <c r="O666" s="955"/>
      <c r="P666" s="955"/>
      <c r="Q666" s="955"/>
      <c r="R666" s="955"/>
      <c r="S666" s="955"/>
      <c r="T666" s="955"/>
      <c r="U666" s="955"/>
      <c r="V666" s="23"/>
    </row>
    <row r="667" spans="1:22" s="16" customFormat="1" ht="86.25" customHeight="1" x14ac:dyDescent="0.2">
      <c r="A667" s="14"/>
      <c r="C667" s="165"/>
      <c r="D667" s="407" t="str">
        <f>"Piutang Retribusi per "&amp;'[1]2.ISIAN DATA SKPD'!D8&amp;" sebesar Rp. "&amp;FIXED(R673)&amp;" adalah hak Pemerintah daerah atas pendapatan retribusi tahun berkenaan, yang sudah diterbitkan Surat Ketetapan namun sampai tanggal  belum dibayar oleh pihak yang menikmati pelayanan,  dengan rincian mutasi sebagai berikut :"</f>
        <v>Piutang Retribusi per 31 Desember 2018 sebesar Rp. 0,00 adalah hak Pemerintah daerah atas pendapatan retribusi tahun berkenaan, yang sudah diterbitkan Surat Ketetapan namun sampai tanggal  belum dibayar oleh pihak yang menikmati pelayanan,  dengan rincian mutasi sebagai berikut :</v>
      </c>
      <c r="E667" s="407"/>
      <c r="F667" s="407"/>
      <c r="G667" s="407"/>
      <c r="H667" s="407"/>
      <c r="I667" s="407"/>
      <c r="J667" s="407"/>
      <c r="K667" s="407"/>
      <c r="L667" s="407"/>
      <c r="M667" s="407"/>
      <c r="N667" s="407"/>
      <c r="O667" s="407"/>
      <c r="P667" s="407"/>
      <c r="Q667" s="407"/>
      <c r="R667" s="407"/>
      <c r="S667" s="407"/>
      <c r="T667" s="407"/>
      <c r="U667" s="407"/>
      <c r="V667" s="23"/>
    </row>
    <row r="668" spans="1:22" s="16" customFormat="1" ht="23.25" customHeight="1" x14ac:dyDescent="0.2">
      <c r="A668" s="14"/>
      <c r="B668" s="862" t="s">
        <v>346</v>
      </c>
      <c r="C668" s="864" t="s">
        <v>0</v>
      </c>
      <c r="D668" s="865"/>
      <c r="E668" s="866"/>
      <c r="F668" s="569" t="s">
        <v>347</v>
      </c>
      <c r="G668" s="570"/>
      <c r="H668" s="570"/>
      <c r="I668" s="571"/>
      <c r="J668" s="870" t="str">
        <f>J655</f>
        <v>MUTASI  TA 2018</v>
      </c>
      <c r="K668" s="871"/>
      <c r="L668" s="871"/>
      <c r="M668" s="871"/>
      <c r="N668" s="871"/>
      <c r="O668" s="871"/>
      <c r="P668" s="871"/>
      <c r="Q668" s="872"/>
      <c r="R668" s="569" t="s">
        <v>348</v>
      </c>
      <c r="S668" s="570"/>
      <c r="T668" s="570"/>
      <c r="U668" s="571"/>
      <c r="V668" s="23"/>
    </row>
    <row r="669" spans="1:22" s="16" customFormat="1" ht="23.25" customHeight="1" x14ac:dyDescent="0.2">
      <c r="A669" s="14"/>
      <c r="B669" s="863"/>
      <c r="C669" s="867"/>
      <c r="D669" s="868"/>
      <c r="E669" s="869"/>
      <c r="F669" s="569">
        <f>F656</f>
        <v>2017</v>
      </c>
      <c r="G669" s="570"/>
      <c r="H669" s="570"/>
      <c r="I669" s="571"/>
      <c r="J669" s="789" t="s">
        <v>349</v>
      </c>
      <c r="K669" s="790"/>
      <c r="L669" s="790"/>
      <c r="M669" s="791"/>
      <c r="N669" s="569" t="s">
        <v>350</v>
      </c>
      <c r="O669" s="570"/>
      <c r="P669" s="570"/>
      <c r="Q669" s="571"/>
      <c r="R669" s="569">
        <f>R656</f>
        <v>2018</v>
      </c>
      <c r="S669" s="570"/>
      <c r="T669" s="570"/>
      <c r="U669" s="571"/>
      <c r="V669" s="23"/>
    </row>
    <row r="670" spans="1:22" s="16" customFormat="1" ht="50.25" customHeight="1" x14ac:dyDescent="0.2">
      <c r="A670" s="14"/>
      <c r="B670" s="166">
        <v>1</v>
      </c>
      <c r="C670" s="963" t="s">
        <v>375</v>
      </c>
      <c r="D670" s="964"/>
      <c r="E670" s="965"/>
      <c r="F670" s="811">
        <v>0</v>
      </c>
      <c r="G670" s="812"/>
      <c r="H670" s="812" t="s">
        <v>352</v>
      </c>
      <c r="I670" s="812"/>
      <c r="J670" s="814">
        <v>0</v>
      </c>
      <c r="K670" s="815" t="s">
        <v>353</v>
      </c>
      <c r="L670" s="815"/>
      <c r="M670" s="815"/>
      <c r="N670" s="811">
        <v>0</v>
      </c>
      <c r="O670" s="812" t="s">
        <v>353</v>
      </c>
      <c r="P670" s="812"/>
      <c r="Q670" s="812"/>
      <c r="R670" s="853">
        <f>F670+J670-N670:N670</f>
        <v>0</v>
      </c>
      <c r="S670" s="853"/>
      <c r="T670" s="853" t="s">
        <v>354</v>
      </c>
      <c r="U670" s="853"/>
      <c r="V670" s="23"/>
    </row>
    <row r="671" spans="1:22" s="16" customFormat="1" ht="63" customHeight="1" x14ac:dyDescent="0.2">
      <c r="A671" s="14"/>
      <c r="B671" s="166">
        <v>2</v>
      </c>
      <c r="C671" s="963" t="s">
        <v>376</v>
      </c>
      <c r="D671" s="964"/>
      <c r="E671" s="965"/>
      <c r="F671" s="811">
        <v>0</v>
      </c>
      <c r="G671" s="812"/>
      <c r="H671" s="812" t="s">
        <v>356</v>
      </c>
      <c r="I671" s="812"/>
      <c r="J671" s="814">
        <v>0</v>
      </c>
      <c r="K671" s="815" t="s">
        <v>357</v>
      </c>
      <c r="L671" s="815"/>
      <c r="M671" s="815"/>
      <c r="N671" s="811">
        <v>0</v>
      </c>
      <c r="O671" s="812" t="s">
        <v>357</v>
      </c>
      <c r="P671" s="812"/>
      <c r="Q671" s="812"/>
      <c r="R671" s="853">
        <f>F671+J671-N671:N671</f>
        <v>0</v>
      </c>
      <c r="S671" s="853"/>
      <c r="T671" s="853" t="s">
        <v>358</v>
      </c>
      <c r="U671" s="853"/>
      <c r="V671" s="23"/>
    </row>
    <row r="672" spans="1:22" s="16" customFormat="1" ht="65.25" customHeight="1" x14ac:dyDescent="0.2">
      <c r="A672" s="14"/>
      <c r="B672" s="166">
        <v>3</v>
      </c>
      <c r="C672" s="963" t="s">
        <v>377</v>
      </c>
      <c r="D672" s="964"/>
      <c r="E672" s="965"/>
      <c r="F672" s="811">
        <v>0</v>
      </c>
      <c r="G672" s="812"/>
      <c r="H672" s="812" t="s">
        <v>360</v>
      </c>
      <c r="I672" s="812"/>
      <c r="J672" s="814">
        <v>0</v>
      </c>
      <c r="K672" s="815" t="s">
        <v>357</v>
      </c>
      <c r="L672" s="815"/>
      <c r="M672" s="815"/>
      <c r="N672" s="811">
        <v>0</v>
      </c>
      <c r="O672" s="812" t="s">
        <v>357</v>
      </c>
      <c r="P672" s="812"/>
      <c r="Q672" s="812"/>
      <c r="R672" s="853">
        <f>F672+J672-N672:N672</f>
        <v>0</v>
      </c>
      <c r="S672" s="853"/>
      <c r="T672" s="853" t="s">
        <v>361</v>
      </c>
      <c r="U672" s="853"/>
      <c r="V672" s="23"/>
    </row>
    <row r="673" spans="1:39" s="16" customFormat="1" ht="22.5" customHeight="1" x14ac:dyDescent="0.2">
      <c r="A673" s="14"/>
      <c r="B673" s="966" t="s">
        <v>205</v>
      </c>
      <c r="C673" s="967"/>
      <c r="D673" s="967"/>
      <c r="E673" s="968"/>
      <c r="F673" s="823">
        <f>SUM(F670:I672)</f>
        <v>0</v>
      </c>
      <c r="G673" s="824"/>
      <c r="H673" s="824" t="s">
        <v>368</v>
      </c>
      <c r="I673" s="824"/>
      <c r="J673" s="820">
        <f>SUM(J670:M672)</f>
        <v>0</v>
      </c>
      <c r="K673" s="821"/>
      <c r="L673" s="821" t="s">
        <v>371</v>
      </c>
      <c r="M673" s="821"/>
      <c r="N673" s="823">
        <f>SUM(N670:Q672)</f>
        <v>0</v>
      </c>
      <c r="O673" s="824"/>
      <c r="P673" s="824" t="s">
        <v>378</v>
      </c>
      <c r="Q673" s="824"/>
      <c r="R673" s="915">
        <f>SUM(R670:U672)</f>
        <v>0</v>
      </c>
      <c r="S673" s="915"/>
      <c r="T673" s="915" t="s">
        <v>379</v>
      </c>
      <c r="U673" s="915"/>
      <c r="V673" s="23"/>
    </row>
    <row r="674" spans="1:39" s="16" customFormat="1" ht="22.5" customHeight="1" x14ac:dyDescent="0.3">
      <c r="A674" s="14"/>
      <c r="B674" s="167"/>
      <c r="C674" s="168"/>
      <c r="D674" s="168"/>
      <c r="E674" s="168"/>
      <c r="F674" s="169"/>
      <c r="G674" s="169"/>
      <c r="H674" s="169"/>
      <c r="I674" s="169"/>
      <c r="J674" s="169"/>
      <c r="K674" s="169"/>
      <c r="L674" s="169"/>
      <c r="M674" s="169"/>
      <c r="N674" s="169"/>
      <c r="O674" s="169"/>
      <c r="P674" s="169"/>
      <c r="Q674" s="169"/>
      <c r="R674" s="169"/>
      <c r="S674" s="169"/>
      <c r="T674" s="169"/>
      <c r="U674" s="169"/>
      <c r="V674" s="23"/>
    </row>
    <row r="675" spans="1:39" s="16" customFormat="1" ht="15.75" x14ac:dyDescent="0.3">
      <c r="A675" s="14"/>
      <c r="B675" s="167"/>
      <c r="C675" s="170" t="s">
        <v>170</v>
      </c>
      <c r="D675" s="962" t="s">
        <v>380</v>
      </c>
      <c r="E675" s="962"/>
      <c r="F675" s="962"/>
      <c r="G675" s="962"/>
      <c r="H675" s="962"/>
      <c r="I675" s="962"/>
      <c r="J675" s="962"/>
      <c r="K675" s="962"/>
      <c r="L675" s="962"/>
      <c r="M675" s="962"/>
      <c r="N675" s="962"/>
      <c r="O675" s="962"/>
      <c r="P675" s="962"/>
      <c r="Q675" s="962"/>
      <c r="R675" s="962"/>
      <c r="S675" s="962"/>
      <c r="T675" s="962"/>
      <c r="U675" s="962"/>
      <c r="V675" s="23"/>
    </row>
    <row r="676" spans="1:39" s="16" customFormat="1" ht="22.5" customHeight="1" x14ac:dyDescent="0.3">
      <c r="A676" s="14"/>
      <c r="B676" s="167"/>
      <c r="C676" s="168"/>
      <c r="D676" s="168"/>
      <c r="E676" s="168"/>
      <c r="F676" s="169"/>
      <c r="G676" s="169"/>
      <c r="H676" s="169"/>
      <c r="I676" s="169"/>
      <c r="J676" s="169"/>
      <c r="K676" s="169"/>
      <c r="L676" s="169"/>
      <c r="M676" s="169"/>
      <c r="N676" s="169"/>
      <c r="O676" s="169"/>
      <c r="P676" s="169"/>
      <c r="Q676" s="169"/>
      <c r="R676" s="169"/>
      <c r="S676" s="169"/>
      <c r="T676" s="169"/>
      <c r="U676" s="169"/>
      <c r="V676" s="23"/>
    </row>
    <row r="677" spans="1:39" s="16" customFormat="1" ht="22.5" customHeight="1" x14ac:dyDescent="0.2">
      <c r="A677" s="14"/>
      <c r="B677" s="62"/>
      <c r="C677" s="160" t="s">
        <v>175</v>
      </c>
      <c r="D677" s="955" t="s">
        <v>381</v>
      </c>
      <c r="E677" s="955"/>
      <c r="F677" s="955"/>
      <c r="G677" s="955"/>
      <c r="H677" s="955"/>
      <c r="I677" s="955"/>
      <c r="J677" s="955"/>
      <c r="K677" s="955"/>
      <c r="L677" s="955"/>
      <c r="M677" s="955"/>
      <c r="N677" s="955"/>
      <c r="O677" s="955"/>
      <c r="P677" s="955"/>
      <c r="Q677" s="955"/>
      <c r="R677" s="955"/>
      <c r="S677" s="955"/>
      <c r="T677" s="955"/>
      <c r="U677" s="955"/>
      <c r="V677" s="23"/>
    </row>
    <row r="678" spans="1:39" s="16" customFormat="1" ht="83.25" customHeight="1" x14ac:dyDescent="0.2">
      <c r="A678" s="14"/>
      <c r="C678" s="29"/>
      <c r="D678" s="407" t="str">
        <f>"Piutang Lain-lain PAD Yang Sah per "&amp;'[1]2.ISIAN DATA SKPD'!D8&amp;" sebesar Rp. "&amp;FIXED(R684)&amp;" adalah hak Pemerintah daerah dalam hal ini BLUD Puskesmas selain pajak dan retribusi  namun sampai tanggal tersebut belum dibayar oleh pihak yang menikmati pelayanan,  dengan rincian mutasi sebagai berikut :"</f>
        <v>Piutang Lain-lain PAD Yang Sah per 31 Desember 2018 sebesar Rp. 0,00 adalah hak Pemerintah daerah dalam hal ini BLUD Puskesmas selain pajak dan retribusi  namun sampai tanggal tersebut belum dibayar oleh pihak yang menikmati pelayanan,  dengan rincian mutasi sebagai berikut :</v>
      </c>
      <c r="E678" s="407"/>
      <c r="F678" s="407"/>
      <c r="G678" s="407"/>
      <c r="H678" s="407"/>
      <c r="I678" s="407"/>
      <c r="J678" s="407"/>
      <c r="K678" s="407"/>
      <c r="L678" s="407"/>
      <c r="M678" s="407"/>
      <c r="N678" s="407"/>
      <c r="O678" s="407"/>
      <c r="P678" s="407"/>
      <c r="Q678" s="407"/>
      <c r="R678" s="407"/>
      <c r="S678" s="407"/>
      <c r="T678" s="407"/>
      <c r="U678" s="407"/>
      <c r="V678" s="23"/>
    </row>
    <row r="679" spans="1:39" s="16" customFormat="1" ht="18" hidden="1" customHeight="1" x14ac:dyDescent="0.2">
      <c r="A679" s="14"/>
      <c r="C679" s="29"/>
      <c r="D679" s="77"/>
      <c r="E679" s="77"/>
      <c r="F679" s="77"/>
      <c r="G679" s="77"/>
      <c r="H679" s="77"/>
      <c r="I679" s="77"/>
      <c r="J679" s="77"/>
      <c r="K679" s="77"/>
      <c r="L679" s="77"/>
      <c r="M679" s="77"/>
      <c r="N679" s="77"/>
      <c r="O679" s="77"/>
      <c r="P679" s="77"/>
      <c r="Q679" s="77"/>
      <c r="R679" s="77"/>
      <c r="S679" s="77"/>
      <c r="T679" s="77"/>
      <c r="U679" s="77"/>
      <c r="V679" s="23"/>
    </row>
    <row r="680" spans="1:39" s="16" customFormat="1" ht="15" customHeight="1" x14ac:dyDescent="0.2">
      <c r="A680" s="14"/>
      <c r="B680" s="862" t="s">
        <v>346</v>
      </c>
      <c r="C680" s="864" t="s">
        <v>0</v>
      </c>
      <c r="D680" s="865"/>
      <c r="E680" s="866"/>
      <c r="F680" s="569" t="s">
        <v>347</v>
      </c>
      <c r="G680" s="570"/>
      <c r="H680" s="570"/>
      <c r="I680" s="571"/>
      <c r="J680" s="870" t="str">
        <f>J668</f>
        <v>MUTASI  TA 2018</v>
      </c>
      <c r="K680" s="871"/>
      <c r="L680" s="871"/>
      <c r="M680" s="871"/>
      <c r="N680" s="871"/>
      <c r="O680" s="871"/>
      <c r="P680" s="871"/>
      <c r="Q680" s="872"/>
      <c r="R680" s="569" t="s">
        <v>348</v>
      </c>
      <c r="S680" s="570"/>
      <c r="T680" s="570"/>
      <c r="U680" s="571"/>
      <c r="V680" s="23"/>
    </row>
    <row r="681" spans="1:39" s="16" customFormat="1" ht="15" customHeight="1" x14ac:dyDescent="0.2">
      <c r="A681" s="14"/>
      <c r="B681" s="863"/>
      <c r="C681" s="867"/>
      <c r="D681" s="868"/>
      <c r="E681" s="869"/>
      <c r="F681" s="870">
        <f>F669</f>
        <v>2017</v>
      </c>
      <c r="G681" s="570"/>
      <c r="H681" s="570"/>
      <c r="I681" s="571"/>
      <c r="J681" s="789" t="s">
        <v>349</v>
      </c>
      <c r="K681" s="790"/>
      <c r="L681" s="790"/>
      <c r="M681" s="791"/>
      <c r="N681" s="569" t="s">
        <v>350</v>
      </c>
      <c r="O681" s="570"/>
      <c r="P681" s="570"/>
      <c r="Q681" s="571"/>
      <c r="R681" s="569">
        <f>R669</f>
        <v>2018</v>
      </c>
      <c r="S681" s="570"/>
      <c r="T681" s="570"/>
      <c r="U681" s="571"/>
      <c r="V681" s="23"/>
    </row>
    <row r="682" spans="1:39" s="16" customFormat="1" ht="26.25" customHeight="1" x14ac:dyDescent="0.2">
      <c r="A682" s="14"/>
      <c r="B682" s="161">
        <v>1</v>
      </c>
      <c r="C682" s="949" t="s">
        <v>382</v>
      </c>
      <c r="D682" s="950"/>
      <c r="E682" s="951"/>
      <c r="F682" s="811">
        <v>0</v>
      </c>
      <c r="G682" s="812"/>
      <c r="H682" s="812" t="s">
        <v>352</v>
      </c>
      <c r="I682" s="812"/>
      <c r="J682" s="814">
        <v>0</v>
      </c>
      <c r="K682" s="815" t="s">
        <v>353</v>
      </c>
      <c r="L682" s="815"/>
      <c r="M682" s="815"/>
      <c r="N682" s="811">
        <v>0</v>
      </c>
      <c r="O682" s="812" t="s">
        <v>353</v>
      </c>
      <c r="P682" s="812"/>
      <c r="Q682" s="812"/>
      <c r="R682" s="853">
        <f>F682+J682-N682:N682</f>
        <v>0</v>
      </c>
      <c r="S682" s="853"/>
      <c r="T682" s="853" t="s">
        <v>354</v>
      </c>
      <c r="U682" s="853"/>
      <c r="V682" s="23"/>
    </row>
    <row r="683" spans="1:39" s="16" customFormat="1" ht="22.5" customHeight="1" x14ac:dyDescent="0.2">
      <c r="A683" s="14"/>
      <c r="B683" s="161">
        <v>2</v>
      </c>
      <c r="C683" s="949" t="s">
        <v>383</v>
      </c>
      <c r="D683" s="950"/>
      <c r="E683" s="951"/>
      <c r="F683" s="811">
        <v>0</v>
      </c>
      <c r="G683" s="812"/>
      <c r="H683" s="812" t="s">
        <v>356</v>
      </c>
      <c r="I683" s="812"/>
      <c r="J683" s="814">
        <v>0</v>
      </c>
      <c r="K683" s="815" t="s">
        <v>357</v>
      </c>
      <c r="L683" s="815"/>
      <c r="M683" s="815"/>
      <c r="N683" s="811">
        <v>0</v>
      </c>
      <c r="O683" s="812" t="s">
        <v>357</v>
      </c>
      <c r="P683" s="812"/>
      <c r="Q683" s="812"/>
      <c r="R683" s="853">
        <f>F683+J683-N683:N683</f>
        <v>0</v>
      </c>
      <c r="S683" s="853"/>
      <c r="T683" s="853" t="s">
        <v>358</v>
      </c>
      <c r="U683" s="853"/>
      <c r="V683" s="23"/>
    </row>
    <row r="684" spans="1:39" s="16" customFormat="1" ht="18.75" customHeight="1" x14ac:dyDescent="0.3">
      <c r="A684" s="14"/>
      <c r="B684" s="171"/>
      <c r="C684" s="959" t="s">
        <v>205</v>
      </c>
      <c r="D684" s="960"/>
      <c r="E684" s="961"/>
      <c r="F684" s="823">
        <f>SUM(F682:I683)</f>
        <v>0</v>
      </c>
      <c r="G684" s="824"/>
      <c r="H684" s="824" t="s">
        <v>368</v>
      </c>
      <c r="I684" s="824"/>
      <c r="J684" s="820">
        <f>SUM(J682:M683)</f>
        <v>0</v>
      </c>
      <c r="K684" s="821"/>
      <c r="L684" s="821" t="s">
        <v>371</v>
      </c>
      <c r="M684" s="821"/>
      <c r="N684" s="823">
        <f>SUM(N682:Q683)</f>
        <v>0</v>
      </c>
      <c r="O684" s="824"/>
      <c r="P684" s="824" t="s">
        <v>378</v>
      </c>
      <c r="Q684" s="824"/>
      <c r="R684" s="915">
        <f>SUM(R682:U683)</f>
        <v>0</v>
      </c>
      <c r="S684" s="915"/>
      <c r="T684" s="915" t="s">
        <v>379</v>
      </c>
      <c r="U684" s="915"/>
      <c r="V684" s="23"/>
    </row>
    <row r="685" spans="1:39" s="16" customFormat="1" ht="18.75" customHeight="1" x14ac:dyDescent="0.3">
      <c r="A685" s="14"/>
      <c r="B685" s="167"/>
      <c r="C685" s="168"/>
      <c r="D685" s="168"/>
      <c r="E685" s="168"/>
      <c r="F685" s="169"/>
      <c r="G685" s="169"/>
      <c r="H685" s="169"/>
      <c r="I685" s="169"/>
      <c r="J685" s="169"/>
      <c r="K685" s="169"/>
      <c r="L685" s="169"/>
      <c r="M685" s="169"/>
      <c r="N685" s="169"/>
      <c r="O685" s="169"/>
      <c r="P685" s="169"/>
      <c r="Q685" s="169"/>
      <c r="R685" s="169"/>
      <c r="S685" s="169"/>
      <c r="T685" s="169"/>
      <c r="U685" s="169"/>
      <c r="V685" s="23"/>
    </row>
    <row r="686" spans="1:39" s="16" customFormat="1" ht="62.25" customHeight="1" x14ac:dyDescent="0.3">
      <c r="A686" s="14"/>
      <c r="B686" s="167"/>
      <c r="C686" s="168"/>
      <c r="D686" s="407" t="s">
        <v>384</v>
      </c>
      <c r="E686" s="407"/>
      <c r="F686" s="407"/>
      <c r="G686" s="407"/>
      <c r="H686" s="407"/>
      <c r="I686" s="407"/>
      <c r="J686" s="407"/>
      <c r="K686" s="407"/>
      <c r="L686" s="407"/>
      <c r="M686" s="407"/>
      <c r="N686" s="407"/>
      <c r="O686" s="407"/>
      <c r="P686" s="407"/>
      <c r="Q686" s="407"/>
      <c r="R686" s="407"/>
      <c r="S686" s="407"/>
      <c r="T686" s="407"/>
      <c r="U686" s="407"/>
      <c r="V686" s="954"/>
      <c r="W686" s="954"/>
      <c r="X686" s="954"/>
      <c r="Y686" s="954"/>
      <c r="Z686" s="954"/>
      <c r="AA686" s="954"/>
      <c r="AB686" s="954"/>
      <c r="AC686" s="954"/>
      <c r="AD686" s="954"/>
      <c r="AE686" s="954"/>
      <c r="AF686" s="954"/>
      <c r="AG686" s="954"/>
      <c r="AH686" s="954"/>
      <c r="AI686" s="954"/>
      <c r="AJ686" s="954"/>
      <c r="AK686" s="954"/>
      <c r="AL686" s="954"/>
      <c r="AM686" s="954"/>
    </row>
    <row r="687" spans="1:39" s="16" customFormat="1" ht="23.25" customHeight="1" x14ac:dyDescent="0.3">
      <c r="A687" s="14"/>
      <c r="B687" s="167"/>
      <c r="C687" s="168"/>
      <c r="D687" s="89" t="s">
        <v>385</v>
      </c>
      <c r="E687" s="532" t="str">
        <f>"Mutasi debet sebesar Rp. "&amp;FIXED(J684)&amp;" ."</f>
        <v>Mutasi debet sebesar Rp. 0,00 .</v>
      </c>
      <c r="F687" s="532"/>
      <c r="G687" s="532"/>
      <c r="H687" s="532"/>
      <c r="I687" s="532"/>
      <c r="J687" s="532"/>
      <c r="K687" s="532"/>
      <c r="L687" s="532"/>
      <c r="M687" s="532"/>
      <c r="N687" s="532"/>
      <c r="O687" s="532"/>
      <c r="P687" s="532"/>
      <c r="Q687" s="532"/>
      <c r="R687" s="532"/>
      <c r="S687" s="532"/>
      <c r="T687" s="532"/>
      <c r="U687" s="532"/>
      <c r="V687" s="29"/>
      <c r="W687" s="172"/>
      <c r="X687" s="172"/>
      <c r="Y687" s="172"/>
      <c r="Z687" s="172"/>
      <c r="AA687" s="172"/>
      <c r="AB687" s="172"/>
      <c r="AC687" s="172"/>
      <c r="AD687" s="172"/>
      <c r="AE687" s="172"/>
      <c r="AF687" s="172"/>
      <c r="AG687" s="172"/>
      <c r="AH687" s="172"/>
      <c r="AI687" s="172"/>
      <c r="AJ687" s="172"/>
      <c r="AK687" s="172"/>
      <c r="AL687" s="172"/>
      <c r="AM687" s="172"/>
    </row>
    <row r="688" spans="1:39" s="16" customFormat="1" ht="25.5" customHeight="1" x14ac:dyDescent="0.3">
      <c r="A688" s="14"/>
      <c r="B688" s="167"/>
      <c r="C688" s="168"/>
      <c r="D688" s="173" t="s">
        <v>386</v>
      </c>
      <c r="E688" s="532" t="str">
        <f>"Mutasi kredit sebesar Rp. "&amp;FIXED(N684)&amp;" ."</f>
        <v>Mutasi kredit sebesar Rp. 0,00 .</v>
      </c>
      <c r="F688" s="532"/>
      <c r="G688" s="532"/>
      <c r="H688" s="532"/>
      <c r="I688" s="532"/>
      <c r="J688" s="532"/>
      <c r="K688" s="532"/>
      <c r="L688" s="532"/>
      <c r="M688" s="532"/>
      <c r="N688" s="532"/>
      <c r="O688" s="532"/>
      <c r="P688" s="532"/>
      <c r="Q688" s="532"/>
      <c r="R688" s="532"/>
      <c r="S688" s="532"/>
      <c r="T688" s="532"/>
      <c r="U688" s="532"/>
      <c r="V688" s="23"/>
    </row>
    <row r="689" spans="1:40" s="16" customFormat="1" ht="18" customHeight="1" x14ac:dyDescent="0.3">
      <c r="A689" s="14"/>
      <c r="B689" s="167"/>
      <c r="C689" s="168"/>
      <c r="D689" s="173"/>
      <c r="E689" s="103"/>
      <c r="F689" s="103"/>
      <c r="G689" s="103"/>
      <c r="H689" s="103"/>
      <c r="I689" s="103"/>
      <c r="J689" s="103"/>
      <c r="K689" s="103"/>
      <c r="L689" s="103"/>
      <c r="M689" s="103"/>
      <c r="N689" s="103"/>
      <c r="O689" s="103"/>
      <c r="P689" s="103"/>
      <c r="Q689" s="103"/>
      <c r="R689" s="103"/>
      <c r="S689" s="103"/>
      <c r="T689" s="103"/>
      <c r="U689" s="103"/>
      <c r="V689" s="23"/>
    </row>
    <row r="690" spans="1:40" s="16" customFormat="1" ht="18.75" customHeight="1" x14ac:dyDescent="0.3">
      <c r="A690" s="14"/>
      <c r="B690" s="167"/>
      <c r="C690" s="174" t="s">
        <v>155</v>
      </c>
      <c r="D690" s="955" t="s">
        <v>387</v>
      </c>
      <c r="E690" s="955"/>
      <c r="F690" s="955"/>
      <c r="G690" s="955"/>
      <c r="H690" s="955"/>
      <c r="I690" s="955"/>
      <c r="J690" s="955"/>
      <c r="K690" s="955"/>
      <c r="L690" s="955"/>
      <c r="M690" s="955"/>
      <c r="N690" s="955"/>
      <c r="O690" s="955"/>
      <c r="P690" s="955"/>
      <c r="Q690" s="955"/>
      <c r="R690" s="955"/>
      <c r="S690" s="955"/>
      <c r="T690" s="955"/>
      <c r="U690" s="955"/>
      <c r="V690" s="23"/>
      <c r="W690" s="956"/>
      <c r="X690" s="956"/>
      <c r="Y690" s="957"/>
      <c r="Z690" s="957"/>
      <c r="AA690" s="957"/>
      <c r="AB690" s="957"/>
      <c r="AC690" s="957"/>
      <c r="AD690" s="957"/>
      <c r="AE690" s="957"/>
      <c r="AF690" s="957"/>
      <c r="AG690" s="957"/>
      <c r="AH690" s="957"/>
      <c r="AI690" s="958"/>
      <c r="AJ690" s="958"/>
      <c r="AK690" s="958"/>
      <c r="AL690" s="958"/>
      <c r="AM690" s="958"/>
      <c r="AN690" s="958"/>
    </row>
    <row r="691" spans="1:40" s="16" customFormat="1" ht="33.75" customHeight="1" x14ac:dyDescent="0.2">
      <c r="A691" s="14"/>
      <c r="B691" s="62"/>
      <c r="D691" s="407" t="str">
        <f>"Piutang Lainnya  per "&amp;'[1]2.ISIAN DATA SKPD'!D8&amp;" sebesar Rp. "&amp;FIXED(R697)&amp;"  dengan mutasi sebagai berikut :"</f>
        <v>Piutang Lainnya  per 31 Desember 2018 sebesar Rp. 0,00  dengan mutasi sebagai berikut :</v>
      </c>
      <c r="E691" s="407"/>
      <c r="F691" s="407"/>
      <c r="G691" s="407"/>
      <c r="H691" s="407"/>
      <c r="I691" s="407"/>
      <c r="J691" s="407"/>
      <c r="K691" s="407"/>
      <c r="L691" s="407"/>
      <c r="M691" s="407"/>
      <c r="N691" s="407"/>
      <c r="O691" s="407"/>
      <c r="P691" s="407"/>
      <c r="Q691" s="407"/>
      <c r="R691" s="407"/>
      <c r="S691" s="407"/>
      <c r="T691" s="407"/>
      <c r="U691" s="407"/>
      <c r="V691" s="23"/>
      <c r="W691" s="952"/>
      <c r="X691" s="952"/>
      <c r="Y691" s="952"/>
      <c r="Z691" s="952"/>
      <c r="AA691" s="952"/>
      <c r="AB691" s="952"/>
      <c r="AC691" s="952"/>
      <c r="AD691" s="952"/>
      <c r="AE691" s="952"/>
      <c r="AF691" s="952"/>
      <c r="AG691" s="952"/>
      <c r="AH691" s="952"/>
      <c r="AI691" s="953"/>
      <c r="AJ691" s="953"/>
      <c r="AK691" s="953"/>
      <c r="AL691" s="953"/>
      <c r="AM691" s="953"/>
      <c r="AN691" s="953"/>
    </row>
    <row r="692" spans="1:40" s="16" customFormat="1" ht="20.25" customHeight="1" x14ac:dyDescent="0.2">
      <c r="A692" s="14"/>
      <c r="B692" s="62"/>
      <c r="D692" s="77"/>
      <c r="E692" s="77"/>
      <c r="F692" s="77"/>
      <c r="G692" s="77"/>
      <c r="H692" s="77"/>
      <c r="I692" s="77"/>
      <c r="J692" s="77"/>
      <c r="K692" s="77"/>
      <c r="L692" s="77"/>
      <c r="M692" s="77"/>
      <c r="N692" s="77"/>
      <c r="O692" s="77"/>
      <c r="P692" s="77"/>
      <c r="Q692" s="77"/>
      <c r="R692" s="77"/>
      <c r="S692" s="77"/>
      <c r="T692" s="77"/>
      <c r="U692" s="77"/>
      <c r="V692" s="23"/>
      <c r="W692" s="175"/>
      <c r="X692" s="175"/>
      <c r="Y692" s="175"/>
      <c r="Z692" s="175"/>
      <c r="AA692" s="175"/>
      <c r="AB692" s="175"/>
      <c r="AC692" s="175"/>
      <c r="AD692" s="175"/>
      <c r="AE692" s="175"/>
      <c r="AF692" s="175"/>
      <c r="AG692" s="175"/>
      <c r="AH692" s="175"/>
      <c r="AI692" s="80"/>
      <c r="AJ692" s="80"/>
      <c r="AK692" s="80"/>
      <c r="AL692" s="80"/>
      <c r="AM692" s="80"/>
      <c r="AN692" s="80"/>
    </row>
    <row r="693" spans="1:40" s="16" customFormat="1" ht="25.5" customHeight="1" x14ac:dyDescent="0.2">
      <c r="A693" s="14"/>
      <c r="B693" s="862" t="s">
        <v>346</v>
      </c>
      <c r="C693" s="864" t="s">
        <v>0</v>
      </c>
      <c r="D693" s="865"/>
      <c r="E693" s="866"/>
      <c r="F693" s="569" t="s">
        <v>347</v>
      </c>
      <c r="G693" s="570"/>
      <c r="H693" s="570"/>
      <c r="I693" s="571"/>
      <c r="J693" s="870" t="str">
        <f>J655</f>
        <v>MUTASI  TA 2018</v>
      </c>
      <c r="K693" s="871"/>
      <c r="L693" s="871"/>
      <c r="M693" s="871"/>
      <c r="N693" s="871"/>
      <c r="O693" s="871"/>
      <c r="P693" s="871"/>
      <c r="Q693" s="872"/>
      <c r="R693" s="569" t="s">
        <v>348</v>
      </c>
      <c r="S693" s="570"/>
      <c r="T693" s="570"/>
      <c r="U693" s="571"/>
      <c r="V693" s="23"/>
    </row>
    <row r="694" spans="1:40" s="16" customFormat="1" ht="22.5" customHeight="1" x14ac:dyDescent="0.2">
      <c r="A694" s="176"/>
      <c r="B694" s="863"/>
      <c r="C694" s="867"/>
      <c r="D694" s="868"/>
      <c r="E694" s="869"/>
      <c r="F694" s="569">
        <f>F669</f>
        <v>2017</v>
      </c>
      <c r="G694" s="570"/>
      <c r="H694" s="570"/>
      <c r="I694" s="571"/>
      <c r="J694" s="789" t="s">
        <v>349</v>
      </c>
      <c r="K694" s="790"/>
      <c r="L694" s="790"/>
      <c r="M694" s="791"/>
      <c r="N694" s="569" t="s">
        <v>350</v>
      </c>
      <c r="O694" s="570"/>
      <c r="P694" s="570"/>
      <c r="Q694" s="571"/>
      <c r="R694" s="569">
        <f>R681</f>
        <v>2018</v>
      </c>
      <c r="S694" s="570"/>
      <c r="T694" s="570"/>
      <c r="U694" s="571"/>
      <c r="V694" s="23"/>
    </row>
    <row r="695" spans="1:40" s="16" customFormat="1" ht="78" customHeight="1" x14ac:dyDescent="0.2">
      <c r="A695" s="176"/>
      <c r="B695" s="161">
        <v>1</v>
      </c>
      <c r="C695" s="949" t="s">
        <v>388</v>
      </c>
      <c r="D695" s="950"/>
      <c r="E695" s="951"/>
      <c r="F695" s="832">
        <v>0</v>
      </c>
      <c r="G695" s="833"/>
      <c r="H695" s="833" t="s">
        <v>352</v>
      </c>
      <c r="I695" s="833"/>
      <c r="J695" s="829">
        <v>0</v>
      </c>
      <c r="K695" s="830" t="s">
        <v>353</v>
      </c>
      <c r="L695" s="830"/>
      <c r="M695" s="830"/>
      <c r="N695" s="832">
        <v>0</v>
      </c>
      <c r="O695" s="833" t="s">
        <v>353</v>
      </c>
      <c r="P695" s="833"/>
      <c r="Q695" s="833"/>
      <c r="R695" s="921">
        <f>F695+J695-N695:N695</f>
        <v>0</v>
      </c>
      <c r="S695" s="921"/>
      <c r="T695" s="921" t="s">
        <v>354</v>
      </c>
      <c r="U695" s="921"/>
      <c r="V695" s="23"/>
    </row>
    <row r="696" spans="1:40" s="16" customFormat="1" ht="26.25" customHeight="1" x14ac:dyDescent="0.2">
      <c r="A696" s="176"/>
      <c r="B696" s="161">
        <v>2</v>
      </c>
      <c r="C696" s="949" t="s">
        <v>383</v>
      </c>
      <c r="D696" s="950"/>
      <c r="E696" s="951"/>
      <c r="F696" s="832">
        <v>0</v>
      </c>
      <c r="G696" s="833"/>
      <c r="H696" s="833" t="s">
        <v>356</v>
      </c>
      <c r="I696" s="833"/>
      <c r="J696" s="829">
        <v>0</v>
      </c>
      <c r="K696" s="830" t="s">
        <v>357</v>
      </c>
      <c r="L696" s="830"/>
      <c r="M696" s="830"/>
      <c r="N696" s="832">
        <v>0</v>
      </c>
      <c r="O696" s="833" t="s">
        <v>357</v>
      </c>
      <c r="P696" s="833"/>
      <c r="Q696" s="833"/>
      <c r="R696" s="921">
        <f>F696+J696-N696:N696</f>
        <v>0</v>
      </c>
      <c r="S696" s="921"/>
      <c r="T696" s="921" t="s">
        <v>358</v>
      </c>
      <c r="U696" s="921"/>
      <c r="V696" s="23"/>
    </row>
    <row r="697" spans="1:40" s="16" customFormat="1" ht="22.5" customHeight="1" x14ac:dyDescent="0.3">
      <c r="A697" s="14"/>
      <c r="B697" s="171"/>
      <c r="C697" s="873" t="s">
        <v>205</v>
      </c>
      <c r="D697" s="874"/>
      <c r="E697" s="875"/>
      <c r="F697" s="823">
        <f>SUM(F695:I696)</f>
        <v>0</v>
      </c>
      <c r="G697" s="824"/>
      <c r="H697" s="824" t="s">
        <v>368</v>
      </c>
      <c r="I697" s="824"/>
      <c r="J697" s="820">
        <f>SUM(J695:M696)</f>
        <v>0</v>
      </c>
      <c r="K697" s="821"/>
      <c r="L697" s="821" t="s">
        <v>371</v>
      </c>
      <c r="M697" s="821"/>
      <c r="N697" s="823">
        <f>SUM(N695:Q696)</f>
        <v>0</v>
      </c>
      <c r="O697" s="824"/>
      <c r="P697" s="824" t="s">
        <v>378</v>
      </c>
      <c r="Q697" s="824"/>
      <c r="R697" s="915">
        <f>SUM(R695:U696)</f>
        <v>0</v>
      </c>
      <c r="S697" s="915"/>
      <c r="T697" s="915" t="s">
        <v>379</v>
      </c>
      <c r="U697" s="915"/>
      <c r="V697" s="23"/>
    </row>
    <row r="698" spans="1:40" s="16" customFormat="1" ht="20.25" customHeight="1" x14ac:dyDescent="0.2">
      <c r="A698" s="14"/>
      <c r="B698" s="62"/>
      <c r="C698" s="62"/>
      <c r="D698" s="62"/>
      <c r="E698" s="62"/>
      <c r="F698" s="62"/>
      <c r="G698" s="62"/>
      <c r="H698" s="62"/>
      <c r="I698" s="62"/>
      <c r="J698" s="62"/>
      <c r="K698" s="62"/>
      <c r="L698" s="133"/>
      <c r="M698" s="133"/>
      <c r="N698" s="133"/>
      <c r="O698" s="133"/>
      <c r="P698" s="133"/>
      <c r="Q698" s="133"/>
      <c r="R698" s="133"/>
      <c r="S698" s="133"/>
      <c r="T698" s="133"/>
      <c r="U698" s="133"/>
      <c r="V698" s="23"/>
    </row>
    <row r="699" spans="1:40" s="16" customFormat="1" ht="22.5" customHeight="1" x14ac:dyDescent="0.2">
      <c r="A699" s="14"/>
      <c r="B699" s="10"/>
      <c r="C699" s="411" t="s">
        <v>389</v>
      </c>
      <c r="D699" s="893"/>
      <c r="E699" s="893"/>
      <c r="F699" s="893"/>
      <c r="G699" s="893"/>
      <c r="H699" s="893"/>
      <c r="I699" s="893"/>
      <c r="J699" s="893"/>
      <c r="K699" s="893"/>
      <c r="L699" s="893"/>
      <c r="M699" s="893"/>
      <c r="N699" s="893"/>
      <c r="O699" s="893"/>
      <c r="P699" s="893"/>
      <c r="Q699" s="893"/>
      <c r="R699" s="893"/>
      <c r="S699" s="893"/>
      <c r="T699" s="893"/>
      <c r="U699" s="893"/>
      <c r="V699" s="23"/>
    </row>
    <row r="700" spans="1:40" s="16" customFormat="1" ht="108" customHeight="1" x14ac:dyDescent="0.2">
      <c r="A700" s="14"/>
      <c r="D700" s="407" t="s">
        <v>390</v>
      </c>
      <c r="E700" s="407"/>
      <c r="F700" s="407"/>
      <c r="G700" s="407"/>
      <c r="H700" s="407"/>
      <c r="I700" s="407"/>
      <c r="J700" s="407"/>
      <c r="K700" s="407"/>
      <c r="L700" s="407"/>
      <c r="M700" s="407"/>
      <c r="N700" s="407"/>
      <c r="O700" s="407"/>
      <c r="P700" s="407"/>
      <c r="Q700" s="407"/>
      <c r="R700" s="407"/>
      <c r="S700" s="407"/>
      <c r="T700" s="407"/>
      <c r="U700" s="407"/>
      <c r="V700" s="23"/>
    </row>
    <row r="701" spans="1:40" s="16" customFormat="1" ht="15" customHeight="1" x14ac:dyDescent="0.2">
      <c r="A701" s="14"/>
      <c r="D701" s="77"/>
      <c r="E701" s="77"/>
      <c r="F701" s="77"/>
      <c r="G701" s="77"/>
      <c r="H701" s="77"/>
      <c r="I701" s="77"/>
      <c r="J701" s="77"/>
      <c r="K701" s="77"/>
      <c r="L701" s="77"/>
      <c r="M701" s="77"/>
      <c r="N701" s="77"/>
      <c r="O701" s="77"/>
      <c r="P701" s="77"/>
      <c r="Q701" s="77"/>
      <c r="R701" s="77"/>
      <c r="S701" s="77"/>
      <c r="T701" s="77"/>
      <c r="U701" s="77"/>
      <c r="V701" s="23"/>
    </row>
    <row r="702" spans="1:40" s="16" customFormat="1" ht="22.5" customHeight="1" x14ac:dyDescent="0.2">
      <c r="A702" s="14"/>
      <c r="B702" s="945" t="s">
        <v>391</v>
      </c>
      <c r="C702" s="945"/>
      <c r="D702" s="945"/>
      <c r="E702" s="945"/>
      <c r="F702" s="945"/>
      <c r="G702" s="945"/>
      <c r="H702" s="945"/>
      <c r="I702" s="945"/>
      <c r="J702" s="945"/>
      <c r="K702" s="945"/>
      <c r="L702" s="945"/>
      <c r="M702" s="945"/>
      <c r="N702" s="945"/>
      <c r="O702" s="945"/>
      <c r="P702" s="945"/>
      <c r="Q702" s="945"/>
      <c r="R702" s="945"/>
      <c r="S702" s="945"/>
      <c r="T702" s="945"/>
      <c r="U702" s="945"/>
      <c r="V702" s="23"/>
    </row>
    <row r="703" spans="1:40" s="16" customFormat="1" ht="33" customHeight="1" x14ac:dyDescent="0.25">
      <c r="A703" s="14"/>
      <c r="B703" s="838" t="s">
        <v>392</v>
      </c>
      <c r="C703" s="437"/>
      <c r="D703" s="437"/>
      <c r="E703" s="437"/>
      <c r="F703" s="437"/>
      <c r="G703" s="437"/>
      <c r="H703" s="437"/>
      <c r="I703" s="438"/>
      <c r="J703" s="946" t="s">
        <v>393</v>
      </c>
      <c r="K703" s="947"/>
      <c r="L703" s="947"/>
      <c r="M703" s="948"/>
      <c r="N703" s="425" t="s">
        <v>394</v>
      </c>
      <c r="O703" s="426"/>
      <c r="P703" s="426"/>
      <c r="Q703" s="427"/>
      <c r="R703" s="425" t="s">
        <v>395</v>
      </c>
      <c r="S703" s="426"/>
      <c r="T703" s="426"/>
      <c r="U703" s="427"/>
      <c r="V703" s="23"/>
    </row>
    <row r="704" spans="1:40" s="16" customFormat="1" ht="19.5" customHeight="1" x14ac:dyDescent="0.2">
      <c r="A704" s="14"/>
      <c r="B704" s="927" t="s">
        <v>396</v>
      </c>
      <c r="C704" s="934"/>
      <c r="D704" s="934"/>
      <c r="E704" s="934"/>
      <c r="F704" s="934"/>
      <c r="G704" s="934"/>
      <c r="H704" s="934"/>
      <c r="I704" s="935"/>
      <c r="J704" s="936"/>
      <c r="K704" s="937"/>
      <c r="L704" s="937"/>
      <c r="M704" s="938"/>
      <c r="N704" s="939"/>
      <c r="O704" s="940"/>
      <c r="P704" s="940"/>
      <c r="Q704" s="941"/>
      <c r="R704" s="942"/>
      <c r="S704" s="943"/>
      <c r="T704" s="943"/>
      <c r="U704" s="944"/>
      <c r="V704" s="23"/>
    </row>
    <row r="705" spans="1:22" s="16" customFormat="1" ht="19.5" customHeight="1" x14ac:dyDescent="0.3">
      <c r="A705" s="14"/>
      <c r="B705" s="916" t="s">
        <v>397</v>
      </c>
      <c r="C705" s="932"/>
      <c r="D705" s="932"/>
      <c r="E705" s="932"/>
      <c r="F705" s="932"/>
      <c r="G705" s="932"/>
      <c r="H705" s="932"/>
      <c r="I705" s="933"/>
      <c r="J705" s="829">
        <v>0</v>
      </c>
      <c r="K705" s="830"/>
      <c r="L705" s="830"/>
      <c r="M705" s="830"/>
      <c r="N705" s="919">
        <v>0</v>
      </c>
      <c r="O705" s="920"/>
      <c r="P705" s="920"/>
      <c r="Q705" s="920"/>
      <c r="R705" s="921">
        <f>J705*N705</f>
        <v>0</v>
      </c>
      <c r="S705" s="921"/>
      <c r="T705" s="921"/>
      <c r="U705" s="921"/>
      <c r="V705" s="23"/>
    </row>
    <row r="706" spans="1:22" s="16" customFormat="1" ht="19.5" customHeight="1" x14ac:dyDescent="0.3">
      <c r="A706" s="14"/>
      <c r="B706" s="916" t="s">
        <v>398</v>
      </c>
      <c r="C706" s="932"/>
      <c r="D706" s="932"/>
      <c r="E706" s="932"/>
      <c r="F706" s="932"/>
      <c r="G706" s="932"/>
      <c r="H706" s="932"/>
      <c r="I706" s="933"/>
      <c r="J706" s="829">
        <v>0</v>
      </c>
      <c r="K706" s="830"/>
      <c r="L706" s="830"/>
      <c r="M706" s="830"/>
      <c r="N706" s="919">
        <v>0.1</v>
      </c>
      <c r="O706" s="920"/>
      <c r="P706" s="920"/>
      <c r="Q706" s="920"/>
      <c r="R706" s="921">
        <f>J706*N706</f>
        <v>0</v>
      </c>
      <c r="S706" s="921"/>
      <c r="T706" s="921"/>
      <c r="U706" s="921"/>
      <c r="V706" s="23"/>
    </row>
    <row r="707" spans="1:22" s="16" customFormat="1" ht="19.5" customHeight="1" x14ac:dyDescent="0.3">
      <c r="A707" s="14"/>
      <c r="B707" s="916" t="s">
        <v>399</v>
      </c>
      <c r="C707" s="932"/>
      <c r="D707" s="932"/>
      <c r="E707" s="932"/>
      <c r="F707" s="932"/>
      <c r="G707" s="932"/>
      <c r="H707" s="932"/>
      <c r="I707" s="933"/>
      <c r="J707" s="829">
        <v>0</v>
      </c>
      <c r="K707" s="830"/>
      <c r="L707" s="830"/>
      <c r="M707" s="830"/>
      <c r="N707" s="919">
        <v>0.5</v>
      </c>
      <c r="O707" s="920"/>
      <c r="P707" s="920"/>
      <c r="Q707" s="920"/>
      <c r="R707" s="921">
        <f>J707*N707</f>
        <v>0</v>
      </c>
      <c r="S707" s="921"/>
      <c r="T707" s="921"/>
      <c r="U707" s="921"/>
      <c r="V707" s="23"/>
    </row>
    <row r="708" spans="1:22" s="16" customFormat="1" ht="19.5" customHeight="1" x14ac:dyDescent="0.3">
      <c r="A708" s="14"/>
      <c r="B708" s="916" t="s">
        <v>400</v>
      </c>
      <c r="C708" s="932"/>
      <c r="D708" s="932"/>
      <c r="E708" s="932"/>
      <c r="F708" s="932"/>
      <c r="G708" s="932"/>
      <c r="H708" s="932"/>
      <c r="I708" s="933"/>
      <c r="J708" s="829">
        <v>0</v>
      </c>
      <c r="K708" s="830"/>
      <c r="L708" s="830"/>
      <c r="M708" s="830"/>
      <c r="N708" s="919">
        <v>1</v>
      </c>
      <c r="O708" s="920"/>
      <c r="P708" s="920"/>
      <c r="Q708" s="920"/>
      <c r="R708" s="921">
        <f>J708*N708</f>
        <v>0</v>
      </c>
      <c r="S708" s="921"/>
      <c r="T708" s="921"/>
      <c r="U708" s="921"/>
      <c r="V708" s="23"/>
    </row>
    <row r="709" spans="1:22" s="16" customFormat="1" ht="19.5" customHeight="1" x14ac:dyDescent="0.3">
      <c r="A709" s="14"/>
      <c r="B709" s="922" t="s">
        <v>205</v>
      </c>
      <c r="C709" s="932"/>
      <c r="D709" s="932"/>
      <c r="E709" s="932"/>
      <c r="F709" s="932"/>
      <c r="G709" s="932"/>
      <c r="H709" s="932"/>
      <c r="I709" s="933"/>
      <c r="J709" s="829">
        <f>SUM(J705:M708)</f>
        <v>0</v>
      </c>
      <c r="K709" s="830"/>
      <c r="L709" s="830"/>
      <c r="M709" s="830"/>
      <c r="N709" s="925"/>
      <c r="O709" s="926"/>
      <c r="P709" s="926"/>
      <c r="Q709" s="926"/>
      <c r="R709" s="921">
        <f>SUM(R705:U708)</f>
        <v>0</v>
      </c>
      <c r="S709" s="921"/>
      <c r="T709" s="921"/>
      <c r="U709" s="921"/>
      <c r="V709" s="23"/>
    </row>
    <row r="710" spans="1:22" s="16" customFormat="1" ht="19.5" customHeight="1" x14ac:dyDescent="0.2">
      <c r="A710" s="14"/>
      <c r="B710" s="927" t="s">
        <v>401</v>
      </c>
      <c r="C710" s="928"/>
      <c r="D710" s="928"/>
      <c r="E710" s="928"/>
      <c r="F710" s="928"/>
      <c r="G710" s="928"/>
      <c r="H710" s="928"/>
      <c r="I710" s="929"/>
      <c r="J710" s="829"/>
      <c r="K710" s="830"/>
      <c r="L710" s="830"/>
      <c r="M710" s="830"/>
      <c r="N710" s="930"/>
      <c r="O710" s="931"/>
      <c r="P710" s="931"/>
      <c r="Q710" s="931"/>
      <c r="R710" s="921"/>
      <c r="S710" s="921"/>
      <c r="T710" s="921"/>
      <c r="U710" s="921"/>
      <c r="V710" s="23"/>
    </row>
    <row r="711" spans="1:22" s="16" customFormat="1" ht="19.5" customHeight="1" x14ac:dyDescent="0.2">
      <c r="A711" s="14"/>
      <c r="B711" s="916" t="s">
        <v>397</v>
      </c>
      <c r="C711" s="917"/>
      <c r="D711" s="917"/>
      <c r="E711" s="917"/>
      <c r="F711" s="917"/>
      <c r="G711" s="917"/>
      <c r="H711" s="917"/>
      <c r="I711" s="918"/>
      <c r="J711" s="829">
        <v>0</v>
      </c>
      <c r="K711" s="830"/>
      <c r="L711" s="830"/>
      <c r="M711" s="830"/>
      <c r="N711" s="919">
        <v>0</v>
      </c>
      <c r="O711" s="920"/>
      <c r="P711" s="920"/>
      <c r="Q711" s="920"/>
      <c r="R711" s="921">
        <f>J711*N711</f>
        <v>0</v>
      </c>
      <c r="S711" s="921"/>
      <c r="T711" s="921"/>
      <c r="U711" s="921"/>
      <c r="V711" s="23"/>
    </row>
    <row r="712" spans="1:22" s="16" customFormat="1" ht="19.5" customHeight="1" x14ac:dyDescent="0.2">
      <c r="A712" s="14"/>
      <c r="B712" s="916" t="s">
        <v>398</v>
      </c>
      <c r="C712" s="917"/>
      <c r="D712" s="917"/>
      <c r="E712" s="917"/>
      <c r="F712" s="917"/>
      <c r="G712" s="917"/>
      <c r="H712" s="917"/>
      <c r="I712" s="918"/>
      <c r="J712" s="829">
        <v>0</v>
      </c>
      <c r="K712" s="830"/>
      <c r="L712" s="830"/>
      <c r="M712" s="830"/>
      <c r="N712" s="919">
        <v>0.1</v>
      </c>
      <c r="O712" s="920"/>
      <c r="P712" s="920"/>
      <c r="Q712" s="920"/>
      <c r="R712" s="921">
        <f>J712*N712</f>
        <v>0</v>
      </c>
      <c r="S712" s="921"/>
      <c r="T712" s="921"/>
      <c r="U712" s="921"/>
      <c r="V712" s="23"/>
    </row>
    <row r="713" spans="1:22" s="16" customFormat="1" ht="19.5" customHeight="1" x14ac:dyDescent="0.2">
      <c r="A713" s="14"/>
      <c r="B713" s="916" t="s">
        <v>399</v>
      </c>
      <c r="C713" s="917"/>
      <c r="D713" s="917"/>
      <c r="E713" s="917"/>
      <c r="F713" s="917"/>
      <c r="G713" s="917"/>
      <c r="H713" s="917"/>
      <c r="I713" s="918"/>
      <c r="J713" s="829">
        <v>0</v>
      </c>
      <c r="K713" s="830"/>
      <c r="L713" s="830"/>
      <c r="M713" s="830"/>
      <c r="N713" s="919">
        <v>0.5</v>
      </c>
      <c r="O713" s="920"/>
      <c r="P713" s="920"/>
      <c r="Q713" s="920"/>
      <c r="R713" s="921">
        <f>J713*N713</f>
        <v>0</v>
      </c>
      <c r="S713" s="921"/>
      <c r="T713" s="921"/>
      <c r="U713" s="921"/>
      <c r="V713" s="23"/>
    </row>
    <row r="714" spans="1:22" s="16" customFormat="1" ht="19.5" customHeight="1" x14ac:dyDescent="0.2">
      <c r="A714" s="14"/>
      <c r="B714" s="916" t="s">
        <v>400</v>
      </c>
      <c r="C714" s="917"/>
      <c r="D714" s="917"/>
      <c r="E714" s="917"/>
      <c r="F714" s="917"/>
      <c r="G714" s="917"/>
      <c r="H714" s="917"/>
      <c r="I714" s="918"/>
      <c r="J714" s="829">
        <v>0</v>
      </c>
      <c r="K714" s="830"/>
      <c r="L714" s="830"/>
      <c r="M714" s="830"/>
      <c r="N714" s="919">
        <v>1</v>
      </c>
      <c r="O714" s="920"/>
      <c r="P714" s="920"/>
      <c r="Q714" s="920"/>
      <c r="R714" s="921">
        <f>J714*N714</f>
        <v>0</v>
      </c>
      <c r="S714" s="921"/>
      <c r="T714" s="921"/>
      <c r="U714" s="921"/>
      <c r="V714" s="23"/>
    </row>
    <row r="715" spans="1:22" s="16" customFormat="1" ht="19.5" customHeight="1" x14ac:dyDescent="0.2">
      <c r="A715" s="14"/>
      <c r="B715" s="922" t="s">
        <v>205</v>
      </c>
      <c r="C715" s="923"/>
      <c r="D715" s="923"/>
      <c r="E715" s="923"/>
      <c r="F715" s="923"/>
      <c r="G715" s="923"/>
      <c r="H715" s="923"/>
      <c r="I715" s="924"/>
      <c r="J715" s="829">
        <f>SUM(J711:M714)</f>
        <v>0</v>
      </c>
      <c r="K715" s="830"/>
      <c r="L715" s="830"/>
      <c r="M715" s="830"/>
      <c r="N715" s="925"/>
      <c r="O715" s="926"/>
      <c r="P715" s="926"/>
      <c r="Q715" s="926"/>
      <c r="R715" s="921">
        <f>SUM(R711:U714)</f>
        <v>0</v>
      </c>
      <c r="S715" s="921"/>
      <c r="T715" s="921"/>
      <c r="U715" s="921"/>
      <c r="V715" s="23"/>
    </row>
    <row r="716" spans="1:22" s="16" customFormat="1" ht="19.5" customHeight="1" x14ac:dyDescent="0.2">
      <c r="A716" s="14"/>
      <c r="B716" s="927" t="s">
        <v>402</v>
      </c>
      <c r="C716" s="928"/>
      <c r="D716" s="928"/>
      <c r="E716" s="928"/>
      <c r="F716" s="928"/>
      <c r="G716" s="928"/>
      <c r="H716" s="928"/>
      <c r="I716" s="929"/>
      <c r="J716" s="829"/>
      <c r="K716" s="830"/>
      <c r="L716" s="830"/>
      <c r="M716" s="830"/>
      <c r="N716" s="930"/>
      <c r="O716" s="931"/>
      <c r="P716" s="931"/>
      <c r="Q716" s="931"/>
      <c r="R716" s="921"/>
      <c r="S716" s="921"/>
      <c r="T716" s="921"/>
      <c r="U716" s="921"/>
      <c r="V716" s="23"/>
    </row>
    <row r="717" spans="1:22" s="16" customFormat="1" ht="19.5" customHeight="1" x14ac:dyDescent="0.2">
      <c r="A717" s="14"/>
      <c r="B717" s="916" t="s">
        <v>397</v>
      </c>
      <c r="C717" s="917"/>
      <c r="D717" s="917"/>
      <c r="E717" s="917"/>
      <c r="F717" s="917"/>
      <c r="G717" s="917"/>
      <c r="H717" s="917"/>
      <c r="I717" s="918"/>
      <c r="J717" s="829">
        <v>0</v>
      </c>
      <c r="K717" s="830"/>
      <c r="L717" s="830"/>
      <c r="M717" s="830"/>
      <c r="N717" s="919">
        <v>0</v>
      </c>
      <c r="O717" s="920"/>
      <c r="P717" s="920"/>
      <c r="Q717" s="920"/>
      <c r="R717" s="921">
        <f>J717*N717</f>
        <v>0</v>
      </c>
      <c r="S717" s="921"/>
      <c r="T717" s="921"/>
      <c r="U717" s="921"/>
      <c r="V717" s="23"/>
    </row>
    <row r="718" spans="1:22" s="16" customFormat="1" ht="19.5" customHeight="1" x14ac:dyDescent="0.2">
      <c r="A718" s="14"/>
      <c r="B718" s="916" t="s">
        <v>398</v>
      </c>
      <c r="C718" s="917"/>
      <c r="D718" s="917"/>
      <c r="E718" s="917"/>
      <c r="F718" s="917"/>
      <c r="G718" s="917"/>
      <c r="H718" s="917"/>
      <c r="I718" s="918"/>
      <c r="J718" s="829">
        <v>0</v>
      </c>
      <c r="K718" s="830"/>
      <c r="L718" s="830"/>
      <c r="M718" s="830"/>
      <c r="N718" s="919">
        <v>0.1</v>
      </c>
      <c r="O718" s="920"/>
      <c r="P718" s="920"/>
      <c r="Q718" s="920"/>
      <c r="R718" s="921">
        <f>J718*N718</f>
        <v>0</v>
      </c>
      <c r="S718" s="921"/>
      <c r="T718" s="921"/>
      <c r="U718" s="921"/>
      <c r="V718" s="23"/>
    </row>
    <row r="719" spans="1:22" s="16" customFormat="1" ht="19.5" customHeight="1" x14ac:dyDescent="0.2">
      <c r="A719" s="14"/>
      <c r="B719" s="916" t="s">
        <v>399</v>
      </c>
      <c r="C719" s="917"/>
      <c r="D719" s="917"/>
      <c r="E719" s="917"/>
      <c r="F719" s="917"/>
      <c r="G719" s="917"/>
      <c r="H719" s="917"/>
      <c r="I719" s="918"/>
      <c r="J719" s="829">
        <v>0</v>
      </c>
      <c r="K719" s="830"/>
      <c r="L719" s="830"/>
      <c r="M719" s="830"/>
      <c r="N719" s="919">
        <v>0.5</v>
      </c>
      <c r="O719" s="920"/>
      <c r="P719" s="920"/>
      <c r="Q719" s="920"/>
      <c r="R719" s="921">
        <f>J719*N719</f>
        <v>0</v>
      </c>
      <c r="S719" s="921"/>
      <c r="T719" s="921"/>
      <c r="U719" s="921"/>
      <c r="V719" s="23"/>
    </row>
    <row r="720" spans="1:22" s="16" customFormat="1" ht="19.5" customHeight="1" x14ac:dyDescent="0.2">
      <c r="A720" s="176"/>
      <c r="B720" s="916" t="s">
        <v>400</v>
      </c>
      <c r="C720" s="917"/>
      <c r="D720" s="917"/>
      <c r="E720" s="917"/>
      <c r="F720" s="917"/>
      <c r="G720" s="917"/>
      <c r="H720" s="917"/>
      <c r="I720" s="918"/>
      <c r="J720" s="829">
        <v>0</v>
      </c>
      <c r="K720" s="830"/>
      <c r="L720" s="830"/>
      <c r="M720" s="830"/>
      <c r="N720" s="919">
        <v>1</v>
      </c>
      <c r="O720" s="920"/>
      <c r="P720" s="920"/>
      <c r="Q720" s="920"/>
      <c r="R720" s="921">
        <f>J720*N720</f>
        <v>0</v>
      </c>
      <c r="S720" s="921"/>
      <c r="T720" s="921"/>
      <c r="U720" s="921"/>
      <c r="V720" s="23"/>
    </row>
    <row r="721" spans="1:35" s="16" customFormat="1" ht="19.5" customHeight="1" x14ac:dyDescent="0.2">
      <c r="A721" s="176"/>
      <c r="B721" s="922" t="s">
        <v>205</v>
      </c>
      <c r="C721" s="923"/>
      <c r="D721" s="923"/>
      <c r="E721" s="923"/>
      <c r="F721" s="923"/>
      <c r="G721" s="923"/>
      <c r="H721" s="923"/>
      <c r="I721" s="924"/>
      <c r="J721" s="829">
        <f>SUM(J717:M720)</f>
        <v>0</v>
      </c>
      <c r="K721" s="830"/>
      <c r="L721" s="830"/>
      <c r="M721" s="830"/>
      <c r="N721" s="925"/>
      <c r="O721" s="926"/>
      <c r="P721" s="926"/>
      <c r="Q721" s="926"/>
      <c r="R721" s="921">
        <f>SUM(R717:U720)</f>
        <v>0</v>
      </c>
      <c r="S721" s="921"/>
      <c r="T721" s="921"/>
      <c r="U721" s="921"/>
      <c r="V721" s="23"/>
    </row>
    <row r="722" spans="1:35" s="16" customFormat="1" ht="35.25" customHeight="1" x14ac:dyDescent="0.2">
      <c r="A722" s="176"/>
      <c r="B722" s="910" t="s">
        <v>403</v>
      </c>
      <c r="C722" s="911"/>
      <c r="D722" s="911"/>
      <c r="E722" s="911"/>
      <c r="F722" s="911"/>
      <c r="G722" s="911"/>
      <c r="H722" s="911"/>
      <c r="I722" s="912"/>
      <c r="J722" s="820">
        <f>SUM(J709+J715+J721)</f>
        <v>0</v>
      </c>
      <c r="K722" s="821"/>
      <c r="L722" s="821"/>
      <c r="M722" s="821"/>
      <c r="N722" s="913"/>
      <c r="O722" s="914"/>
      <c r="P722" s="914"/>
      <c r="Q722" s="914"/>
      <c r="R722" s="915">
        <f>SUM(R709+R715+R721)</f>
        <v>0</v>
      </c>
      <c r="S722" s="915"/>
      <c r="T722" s="915"/>
      <c r="U722" s="915"/>
      <c r="V722" s="23"/>
    </row>
    <row r="723" spans="1:35" s="16" customFormat="1" ht="17.25" customHeight="1" x14ac:dyDescent="0.2">
      <c r="A723" s="5"/>
      <c r="B723" s="105"/>
      <c r="C723" s="105"/>
      <c r="D723" s="177"/>
      <c r="E723" s="177"/>
      <c r="F723" s="177"/>
      <c r="G723" s="177"/>
      <c r="H723" s="177"/>
      <c r="I723" s="177"/>
      <c r="J723" s="178"/>
      <c r="K723" s="178"/>
      <c r="L723" s="178"/>
      <c r="M723" s="178"/>
      <c r="N723" s="179"/>
      <c r="O723" s="179"/>
      <c r="P723" s="179"/>
      <c r="Q723" s="179"/>
      <c r="R723" s="178"/>
      <c r="S723" s="178"/>
      <c r="T723" s="178"/>
      <c r="U723" s="178"/>
      <c r="V723" s="23"/>
    </row>
    <row r="724" spans="1:35" s="16" customFormat="1" ht="48" customHeight="1" x14ac:dyDescent="0.25">
      <c r="A724" s="11"/>
      <c r="B724" s="23"/>
      <c r="C724" s="23"/>
      <c r="D724" s="743" t="str">
        <f>"Dari tabel diatas dapat diketahui bahwa jumlah penyisihan piutang tidak tertagih sebesar Rp. "&amp;FIXED(R722)&amp;" dikategorikan menjadi 4, yaitu :"</f>
        <v>Dari tabel diatas dapat diketahui bahwa jumlah penyisihan piutang tidak tertagih sebesar Rp. 0,00 dikategorikan menjadi 4, yaitu :</v>
      </c>
      <c r="E724" s="743"/>
      <c r="F724" s="743"/>
      <c r="G724" s="743"/>
      <c r="H724" s="743"/>
      <c r="I724" s="743"/>
      <c r="J724" s="743"/>
      <c r="K724" s="743"/>
      <c r="L724" s="743"/>
      <c r="M724" s="743"/>
      <c r="N724" s="743"/>
      <c r="O724" s="743"/>
      <c r="P724" s="743"/>
      <c r="Q724" s="743"/>
      <c r="R724" s="743"/>
      <c r="S724" s="743"/>
      <c r="T724" s="743"/>
      <c r="U724" s="743"/>
      <c r="V724" s="23"/>
    </row>
    <row r="725" spans="1:35" s="16" customFormat="1" ht="17.25" customHeight="1" x14ac:dyDescent="0.25">
      <c r="A725" s="11"/>
      <c r="B725" s="23"/>
      <c r="C725" s="23"/>
      <c r="D725" s="180">
        <v>1</v>
      </c>
      <c r="E725" s="532" t="s">
        <v>397</v>
      </c>
      <c r="F725" s="532"/>
      <c r="G725" s="532"/>
      <c r="H725" s="532"/>
      <c r="I725" s="532"/>
      <c r="J725" s="532"/>
      <c r="K725" s="532"/>
      <c r="L725" s="532"/>
      <c r="M725" s="532"/>
      <c r="N725" s="77" t="s">
        <v>404</v>
      </c>
      <c r="O725" s="909">
        <f>R705+R711+R717</f>
        <v>0</v>
      </c>
      <c r="P725" s="909"/>
      <c r="Q725" s="909"/>
      <c r="R725" s="909"/>
      <c r="S725" s="909"/>
      <c r="T725" s="180"/>
      <c r="U725" s="180"/>
      <c r="V725" s="23"/>
    </row>
    <row r="726" spans="1:35" s="16" customFormat="1" ht="17.25" customHeight="1" x14ac:dyDescent="0.25">
      <c r="A726" s="11"/>
      <c r="B726" s="23"/>
      <c r="C726" s="23"/>
      <c r="D726" s="180">
        <v>2</v>
      </c>
      <c r="E726" s="532" t="s">
        <v>398</v>
      </c>
      <c r="F726" s="532"/>
      <c r="G726" s="532"/>
      <c r="H726" s="532"/>
      <c r="I726" s="532"/>
      <c r="J726" s="532"/>
      <c r="K726" s="532"/>
      <c r="L726" s="532"/>
      <c r="M726" s="532"/>
      <c r="N726" s="77" t="s">
        <v>404</v>
      </c>
      <c r="O726" s="909">
        <f>R706+R712+R718</f>
        <v>0</v>
      </c>
      <c r="P726" s="909"/>
      <c r="Q726" s="909"/>
      <c r="R726" s="909"/>
      <c r="S726" s="909"/>
      <c r="T726" s="180"/>
      <c r="U726" s="180"/>
      <c r="V726" s="23"/>
    </row>
    <row r="727" spans="1:35" s="16" customFormat="1" ht="17.25" customHeight="1" x14ac:dyDescent="0.25">
      <c r="A727" s="11"/>
      <c r="B727" s="23"/>
      <c r="C727" s="23"/>
      <c r="D727" s="180">
        <v>3</v>
      </c>
      <c r="E727" s="532" t="s">
        <v>399</v>
      </c>
      <c r="F727" s="532"/>
      <c r="G727" s="532"/>
      <c r="H727" s="532"/>
      <c r="I727" s="532"/>
      <c r="J727" s="532"/>
      <c r="K727" s="532"/>
      <c r="L727" s="532"/>
      <c r="M727" s="532"/>
      <c r="N727" s="77" t="s">
        <v>404</v>
      </c>
      <c r="O727" s="909">
        <f>R707+R713+R719</f>
        <v>0</v>
      </c>
      <c r="P727" s="909"/>
      <c r="Q727" s="909"/>
      <c r="R727" s="909"/>
      <c r="S727" s="909"/>
      <c r="T727" s="180"/>
      <c r="U727" s="180"/>
      <c r="V727" s="23"/>
    </row>
    <row r="728" spans="1:35" s="16" customFormat="1" ht="22.5" customHeight="1" x14ac:dyDescent="0.25">
      <c r="A728" s="11"/>
      <c r="B728" s="23"/>
      <c r="C728" s="23"/>
      <c r="D728" s="76">
        <v>4</v>
      </c>
      <c r="E728" s="532" t="s">
        <v>400</v>
      </c>
      <c r="F728" s="532"/>
      <c r="G728" s="532"/>
      <c r="H728" s="532"/>
      <c r="I728" s="532"/>
      <c r="J728" s="532"/>
      <c r="K728" s="532"/>
      <c r="L728" s="532"/>
      <c r="M728" s="532"/>
      <c r="N728" s="77" t="s">
        <v>404</v>
      </c>
      <c r="O728" s="909">
        <f>R708+R714+R720</f>
        <v>0</v>
      </c>
      <c r="P728" s="909"/>
      <c r="Q728" s="909"/>
      <c r="R728" s="909"/>
      <c r="S728" s="909"/>
      <c r="T728" s="37"/>
      <c r="U728" s="37"/>
      <c r="V728" s="23"/>
    </row>
    <row r="729" spans="1:35" s="16" customFormat="1" ht="22.5" customHeight="1" x14ac:dyDescent="0.25">
      <c r="A729" s="11"/>
      <c r="B729" s="23"/>
      <c r="C729" s="23"/>
      <c r="D729" s="76"/>
      <c r="E729" s="103"/>
      <c r="F729" s="103"/>
      <c r="G729" s="103"/>
      <c r="H729" s="103"/>
      <c r="I729" s="103"/>
      <c r="J729" s="103"/>
      <c r="K729" s="103"/>
      <c r="L729" s="103"/>
      <c r="M729" s="103"/>
      <c r="N729" s="77"/>
      <c r="O729" s="181"/>
      <c r="P729" s="181"/>
      <c r="Q729" s="181"/>
      <c r="R729" s="181"/>
      <c r="S729" s="181"/>
      <c r="T729" s="37"/>
      <c r="U729" s="37"/>
      <c r="V729" s="23"/>
    </row>
    <row r="730" spans="1:35" s="16" customFormat="1" ht="25.5" customHeight="1" x14ac:dyDescent="0.25">
      <c r="A730" s="11"/>
      <c r="B730" s="10"/>
      <c r="C730" s="906" t="s">
        <v>405</v>
      </c>
      <c r="D730" s="906"/>
      <c r="E730" s="906"/>
      <c r="F730" s="906"/>
      <c r="G730" s="906"/>
      <c r="H730" s="906"/>
      <c r="I730" s="906"/>
      <c r="J730" s="906"/>
      <c r="K730" s="906"/>
      <c r="L730" s="906"/>
      <c r="M730" s="906"/>
      <c r="N730" s="906"/>
      <c r="O730" s="906"/>
      <c r="P730" s="906"/>
      <c r="Q730" s="906"/>
      <c r="R730" s="906"/>
      <c r="S730" s="906"/>
      <c r="T730" s="906"/>
      <c r="U730" s="906"/>
      <c r="V730" s="23"/>
    </row>
    <row r="731" spans="1:35" s="16" customFormat="1" ht="62.25" customHeight="1" x14ac:dyDescent="0.2">
      <c r="A731" s="11"/>
      <c r="C731" s="29"/>
      <c r="D731" s="407" t="str">
        <f>"Saldo Beban Dibayar di Muka per tanggal "&amp;'[1]2.ISIAN DATA SKPD'!D8&amp;" dan "&amp;'[1]2.ISIAN DATA SKPD'!D12&amp;" masing-masing adalah sebesar Rp. "&amp;FIXED(N741)&amp;" dan Rp. "&amp;FIXED(I741)&amp;" atau tidak mengalami kenaikan/penurunan sebesar "&amp;FIXED(S741)&amp;"% dari tahun "&amp;'[1]2.ISIAN DATA SKPD'!D12&amp;"."</f>
        <v>Saldo Beban Dibayar di Muka per tanggal 31 Desember 2018 dan 2017 masing-masing adalah sebesar Rp. 0,00 dan Rp. 0,00 atau tidak mengalami kenaikan/penurunan sebesar 0,00% dari tahun 2017.</v>
      </c>
      <c r="E731" s="407"/>
      <c r="F731" s="407"/>
      <c r="G731" s="407"/>
      <c r="H731" s="407"/>
      <c r="I731" s="407"/>
      <c r="J731" s="407"/>
      <c r="K731" s="407"/>
      <c r="L731" s="407"/>
      <c r="M731" s="407"/>
      <c r="N731" s="407"/>
      <c r="O731" s="407"/>
      <c r="P731" s="407"/>
      <c r="Q731" s="407"/>
      <c r="R731" s="407"/>
      <c r="S731" s="407"/>
      <c r="T731" s="407"/>
      <c r="U731" s="407"/>
      <c r="V731" s="907"/>
      <c r="W731" s="907"/>
      <c r="X731" s="907"/>
      <c r="Y731" s="907"/>
      <c r="Z731" s="907"/>
      <c r="AA731" s="907"/>
      <c r="AB731" s="907"/>
      <c r="AC731" s="907"/>
      <c r="AD731" s="907"/>
      <c r="AE731" s="907"/>
      <c r="AF731" s="907"/>
      <c r="AG731" s="907"/>
      <c r="AH731" s="907"/>
      <c r="AI731" s="907"/>
    </row>
    <row r="732" spans="1:35" s="16" customFormat="1" ht="77.25" customHeight="1" x14ac:dyDescent="0.2">
      <c r="A732" s="11"/>
      <c r="C732" s="29"/>
      <c r="D732" s="532" t="s">
        <v>406</v>
      </c>
      <c r="E732" s="532"/>
      <c r="F732" s="532"/>
      <c r="G732" s="532"/>
      <c r="H732" s="532"/>
      <c r="I732" s="532"/>
      <c r="J732" s="532"/>
      <c r="K732" s="532"/>
      <c r="L732" s="532"/>
      <c r="M732" s="532"/>
      <c r="N732" s="532"/>
      <c r="O732" s="532"/>
      <c r="P732" s="532"/>
      <c r="Q732" s="532"/>
      <c r="R732" s="532"/>
      <c r="S732" s="532"/>
      <c r="T732" s="532"/>
      <c r="U732" s="532"/>
      <c r="V732" s="23"/>
    </row>
    <row r="733" spans="1:35" s="16" customFormat="1" ht="16.5" customHeight="1" x14ac:dyDescent="0.2">
      <c r="A733" s="11"/>
      <c r="C733" s="77"/>
      <c r="D733" s="77"/>
      <c r="E733" s="77"/>
      <c r="F733" s="77"/>
      <c r="G733" s="77"/>
      <c r="H733" s="77"/>
      <c r="I733" s="77"/>
      <c r="J733" s="77"/>
      <c r="K733" s="77"/>
      <c r="L733" s="77"/>
      <c r="M733" s="77"/>
      <c r="N733" s="77"/>
      <c r="O733" s="77"/>
      <c r="P733" s="77"/>
      <c r="Q733" s="77"/>
      <c r="R733" s="77"/>
      <c r="S733" s="77"/>
      <c r="T733" s="77"/>
      <c r="U733" s="77"/>
      <c r="V733" s="23"/>
    </row>
    <row r="734" spans="1:35" s="16" customFormat="1" ht="15" customHeight="1" x14ac:dyDescent="0.2">
      <c r="A734" s="11"/>
      <c r="B734" s="452" t="s">
        <v>407</v>
      </c>
      <c r="C734" s="452"/>
      <c r="D734" s="452"/>
      <c r="E734" s="452"/>
      <c r="F734" s="452"/>
      <c r="G734" s="452"/>
      <c r="H734" s="452"/>
      <c r="I734" s="452"/>
      <c r="J734" s="452"/>
      <c r="K734" s="452"/>
      <c r="L734" s="452"/>
      <c r="M734" s="452"/>
      <c r="N734" s="452"/>
      <c r="O734" s="452"/>
      <c r="P734" s="452"/>
      <c r="Q734" s="452"/>
      <c r="R734" s="452"/>
      <c r="S734" s="452"/>
      <c r="T734" s="452"/>
      <c r="U734" s="452"/>
      <c r="V734" s="23"/>
    </row>
    <row r="735" spans="1:35" s="16" customFormat="1" ht="21" customHeight="1" x14ac:dyDescent="0.2">
      <c r="A735" s="11"/>
      <c r="B735" s="641" t="s">
        <v>329</v>
      </c>
      <c r="C735" s="642"/>
      <c r="D735" s="642"/>
      <c r="E735" s="642"/>
      <c r="F735" s="642"/>
      <c r="G735" s="642"/>
      <c r="H735" s="643"/>
      <c r="I735" s="894" t="str">
        <f>J644</f>
        <v>TA 2018</v>
      </c>
      <c r="J735" s="895"/>
      <c r="K735" s="895"/>
      <c r="L735" s="895"/>
      <c r="M735" s="896"/>
      <c r="N735" s="897" t="str">
        <f>O644</f>
        <v>TA 2017</v>
      </c>
      <c r="O735" s="898"/>
      <c r="P735" s="898"/>
      <c r="Q735" s="898"/>
      <c r="R735" s="898"/>
      <c r="S735" s="894" t="s">
        <v>40</v>
      </c>
      <c r="T735" s="895"/>
      <c r="U735" s="896"/>
      <c r="V735" s="780"/>
      <c r="W735" s="908"/>
      <c r="X735" s="908"/>
      <c r="Y735" s="892"/>
      <c r="Z735" s="472"/>
      <c r="AA735" s="472"/>
      <c r="AB735" s="472"/>
      <c r="AC735" s="892" t="s">
        <v>197</v>
      </c>
      <c r="AD735" s="472"/>
      <c r="AE735" s="472"/>
      <c r="AF735" s="472"/>
    </row>
    <row r="736" spans="1:35" s="16" customFormat="1" ht="32.25" customHeight="1" x14ac:dyDescent="0.2">
      <c r="A736" s="11"/>
      <c r="B736" s="541" t="str">
        <f>'[1]4.NERACA'!C38</f>
        <v>Beban Pegawai  Dibayar Dimuka</v>
      </c>
      <c r="C736" s="541"/>
      <c r="D736" s="541"/>
      <c r="E736" s="541"/>
      <c r="F736" s="541"/>
      <c r="G736" s="541"/>
      <c r="H736" s="541"/>
      <c r="I736" s="902">
        <f>'[1]4.NERACA'!I37</f>
        <v>0</v>
      </c>
      <c r="J736" s="903"/>
      <c r="K736" s="903"/>
      <c r="L736" s="903"/>
      <c r="M736" s="903"/>
      <c r="N736" s="904">
        <f>'[1]4.NERACA'!D37</f>
        <v>0</v>
      </c>
      <c r="O736" s="905"/>
      <c r="P736" s="905"/>
      <c r="Q736" s="905"/>
      <c r="R736" s="905"/>
      <c r="S736" s="900">
        <v>0</v>
      </c>
      <c r="T736" s="891"/>
      <c r="U736" s="891"/>
      <c r="V736" s="810"/>
      <c r="W736" s="901"/>
      <c r="X736" s="901"/>
      <c r="Y736" s="471"/>
      <c r="Z736" s="472"/>
      <c r="AA736" s="472"/>
      <c r="AB736" s="472"/>
      <c r="AC736" s="471">
        <f t="shared" ref="AC736:AC741" si="21">I736-N736</f>
        <v>0</v>
      </c>
      <c r="AD736" s="472"/>
      <c r="AE736" s="472"/>
      <c r="AF736" s="472"/>
    </row>
    <row r="737" spans="1:32" s="16" customFormat="1" ht="32.25" customHeight="1" x14ac:dyDescent="0.2">
      <c r="A737" s="11"/>
      <c r="B737" s="541" t="str">
        <f>'[1]4.NERACA'!C39</f>
        <v>Beban Barang Dibayar Dimuka</v>
      </c>
      <c r="C737" s="541"/>
      <c r="D737" s="541"/>
      <c r="E737" s="541"/>
      <c r="F737" s="541"/>
      <c r="G737" s="541"/>
      <c r="H737" s="541"/>
      <c r="I737" s="902">
        <f>'[1]4.NERACA'!I38</f>
        <v>0</v>
      </c>
      <c r="J737" s="903"/>
      <c r="K737" s="903"/>
      <c r="L737" s="903"/>
      <c r="M737" s="903"/>
      <c r="N737" s="904">
        <f>'[1]4.NERACA'!D38</f>
        <v>0</v>
      </c>
      <c r="O737" s="905"/>
      <c r="P737" s="905"/>
      <c r="Q737" s="905"/>
      <c r="R737" s="905"/>
      <c r="S737" s="900">
        <v>0</v>
      </c>
      <c r="T737" s="891"/>
      <c r="U737" s="891"/>
      <c r="V737" s="810"/>
      <c r="W737" s="901"/>
      <c r="X737" s="901"/>
      <c r="Y737" s="471"/>
      <c r="Z737" s="472"/>
      <c r="AA737" s="472"/>
      <c r="AB737" s="472"/>
      <c r="AC737" s="471">
        <f t="shared" si="21"/>
        <v>0</v>
      </c>
      <c r="AD737" s="472"/>
      <c r="AE737" s="472"/>
      <c r="AF737" s="472"/>
    </row>
    <row r="738" spans="1:32" s="16" customFormat="1" ht="33" customHeight="1" x14ac:dyDescent="0.2">
      <c r="A738" s="5"/>
      <c r="B738" s="541" t="str">
        <f>'[1]4.NERACA'!C40</f>
        <v>Beban Jasa Dibayar Dimuka</v>
      </c>
      <c r="C738" s="541"/>
      <c r="D738" s="541"/>
      <c r="E738" s="541"/>
      <c r="F738" s="541"/>
      <c r="G738" s="541"/>
      <c r="H738" s="541"/>
      <c r="I738" s="902">
        <f>'[1]4.NERACA'!I39</f>
        <v>0</v>
      </c>
      <c r="J738" s="903"/>
      <c r="K738" s="903"/>
      <c r="L738" s="903"/>
      <c r="M738" s="903"/>
      <c r="N738" s="904">
        <f>'[1]4.NERACA'!D40</f>
        <v>0</v>
      </c>
      <c r="O738" s="905"/>
      <c r="P738" s="905"/>
      <c r="Q738" s="905"/>
      <c r="R738" s="905"/>
      <c r="S738" s="900">
        <v>0</v>
      </c>
      <c r="T738" s="891"/>
      <c r="U738" s="891"/>
      <c r="V738" s="810"/>
      <c r="W738" s="901"/>
      <c r="X738" s="901"/>
      <c r="Y738" s="471"/>
      <c r="Z738" s="472"/>
      <c r="AA738" s="472"/>
      <c r="AB738" s="472"/>
      <c r="AC738" s="471">
        <f t="shared" si="21"/>
        <v>0</v>
      </c>
      <c r="AD738" s="472"/>
      <c r="AE738" s="472"/>
      <c r="AF738" s="472"/>
    </row>
    <row r="739" spans="1:32" s="16" customFormat="1" ht="31.5" customHeight="1" x14ac:dyDescent="0.2">
      <c r="A739" s="176"/>
      <c r="B739" s="541" t="str">
        <f>'[1]4.NERACA'!C41</f>
        <v>Beban Pemeliharaan Dibayar Dimuka</v>
      </c>
      <c r="C739" s="541"/>
      <c r="D739" s="541"/>
      <c r="E739" s="541"/>
      <c r="F739" s="541"/>
      <c r="G739" s="541"/>
      <c r="H739" s="541"/>
      <c r="I739" s="902">
        <f>'[1]4.NERACA'!I40</f>
        <v>0</v>
      </c>
      <c r="J739" s="903"/>
      <c r="K739" s="903"/>
      <c r="L739" s="903"/>
      <c r="M739" s="903"/>
      <c r="N739" s="904">
        <f>'[1]4.NERACA'!D41</f>
        <v>0</v>
      </c>
      <c r="O739" s="905"/>
      <c r="P739" s="905"/>
      <c r="Q739" s="905"/>
      <c r="R739" s="905"/>
      <c r="S739" s="900">
        <v>0</v>
      </c>
      <c r="T739" s="891"/>
      <c r="U739" s="891"/>
      <c r="V739" s="810"/>
      <c r="W739" s="901"/>
      <c r="X739" s="901"/>
      <c r="Y739" s="471"/>
      <c r="Z739" s="472"/>
      <c r="AA739" s="472"/>
      <c r="AB739" s="472"/>
      <c r="AC739" s="471">
        <f t="shared" si="21"/>
        <v>0</v>
      </c>
      <c r="AD739" s="472"/>
      <c r="AE739" s="472"/>
      <c r="AF739" s="472"/>
    </row>
    <row r="740" spans="1:32" s="16" customFormat="1" ht="20.25" customHeight="1" x14ac:dyDescent="0.2">
      <c r="A740" s="176"/>
      <c r="B740" s="541" t="str">
        <f>'[1]4.NERACA'!C42</f>
        <v>Beban Lainnya</v>
      </c>
      <c r="C740" s="541"/>
      <c r="D740" s="541"/>
      <c r="E740" s="541"/>
      <c r="F740" s="541"/>
      <c r="G740" s="541"/>
      <c r="H740" s="541"/>
      <c r="I740" s="902">
        <f>'[1]4.NERACA'!I41</f>
        <v>0</v>
      </c>
      <c r="J740" s="903"/>
      <c r="K740" s="903"/>
      <c r="L740" s="903"/>
      <c r="M740" s="903"/>
      <c r="N740" s="904">
        <f>'[1]4.NERACA'!D42</f>
        <v>0</v>
      </c>
      <c r="O740" s="905"/>
      <c r="P740" s="905"/>
      <c r="Q740" s="905"/>
      <c r="R740" s="905"/>
      <c r="S740" s="900">
        <v>0</v>
      </c>
      <c r="T740" s="891"/>
      <c r="U740" s="891"/>
      <c r="V740" s="810"/>
      <c r="W740" s="901"/>
      <c r="X740" s="901"/>
      <c r="Y740" s="471"/>
      <c r="Z740" s="472"/>
      <c r="AA740" s="472"/>
      <c r="AB740" s="472"/>
      <c r="AC740" s="471">
        <f t="shared" si="21"/>
        <v>0</v>
      </c>
      <c r="AD740" s="472"/>
      <c r="AE740" s="472"/>
      <c r="AF740" s="472"/>
    </row>
    <row r="741" spans="1:32" s="16" customFormat="1" ht="22.5" customHeight="1" x14ac:dyDescent="0.2">
      <c r="A741" s="11"/>
      <c r="B741" s="182" t="s">
        <v>205</v>
      </c>
      <c r="C741" s="183"/>
      <c r="D741" s="183"/>
      <c r="E741" s="183"/>
      <c r="F741" s="183"/>
      <c r="G741" s="183"/>
      <c r="H741" s="183"/>
      <c r="I741" s="891">
        <f>SUM(I736:P740)</f>
        <v>0</v>
      </c>
      <c r="J741" s="891"/>
      <c r="K741" s="891"/>
      <c r="L741" s="891"/>
      <c r="M741" s="891"/>
      <c r="N741" s="899">
        <f>SUM(N736:R740)</f>
        <v>0</v>
      </c>
      <c r="O741" s="899"/>
      <c r="P741" s="899"/>
      <c r="Q741" s="899"/>
      <c r="R741" s="899"/>
      <c r="S741" s="900">
        <v>0</v>
      </c>
      <c r="T741" s="891"/>
      <c r="U741" s="891"/>
      <c r="V741" s="810"/>
      <c r="W741" s="901"/>
      <c r="X741" s="901"/>
      <c r="Y741" s="471"/>
      <c r="Z741" s="472"/>
      <c r="AA741" s="472"/>
      <c r="AB741" s="472"/>
      <c r="AC741" s="471">
        <f t="shared" si="21"/>
        <v>0</v>
      </c>
      <c r="AD741" s="472"/>
      <c r="AE741" s="472"/>
      <c r="AF741" s="472"/>
    </row>
    <row r="742" spans="1:32" s="16" customFormat="1" ht="22.5" customHeight="1" x14ac:dyDescent="0.2">
      <c r="A742" s="11"/>
      <c r="B742" s="77"/>
      <c r="C742" s="77"/>
      <c r="D742" s="77"/>
      <c r="E742" s="77"/>
      <c r="F742" s="77"/>
      <c r="G742" s="77"/>
      <c r="H742" s="77"/>
      <c r="I742" s="77"/>
      <c r="J742" s="77"/>
      <c r="K742" s="77"/>
      <c r="L742" s="77"/>
      <c r="M742" s="77"/>
      <c r="N742" s="77"/>
      <c r="O742" s="77"/>
      <c r="P742" s="77"/>
      <c r="Q742" s="77"/>
      <c r="R742" s="77"/>
      <c r="S742" s="77"/>
      <c r="T742" s="37"/>
      <c r="U742" s="37"/>
      <c r="V742" s="23"/>
    </row>
    <row r="743" spans="1:32" s="16" customFormat="1" ht="22.5" customHeight="1" x14ac:dyDescent="0.2">
      <c r="A743" s="11"/>
      <c r="B743" s="10"/>
      <c r="C743" s="411" t="s">
        <v>408</v>
      </c>
      <c r="D743" s="893"/>
      <c r="E743" s="893"/>
      <c r="F743" s="893"/>
      <c r="G743" s="893"/>
      <c r="H743" s="893"/>
      <c r="I743" s="893"/>
      <c r="J743" s="893"/>
      <c r="K743" s="893"/>
      <c r="L743" s="893"/>
      <c r="M743" s="893"/>
      <c r="N743" s="893"/>
      <c r="O743" s="893"/>
      <c r="P743" s="893"/>
      <c r="Q743" s="893"/>
      <c r="R743" s="893"/>
      <c r="S743" s="893"/>
      <c r="T743" s="893"/>
      <c r="U743" s="893"/>
      <c r="V743" s="23"/>
    </row>
    <row r="744" spans="1:32" s="16" customFormat="1" ht="66" customHeight="1" x14ac:dyDescent="0.2">
      <c r="A744" s="11"/>
      <c r="C744" s="407" t="str">
        <f>"Nilai Persediaan per "&amp;'[1]2.ISIAN DATA SKPD'!D8&amp;"  dan "&amp;'[1]2.ISIAN DATA SKPD'!D12&amp;" masing-masing adalah sebesar Rp. "&amp;FIXED(I752)&amp;" dan Rp. "&amp;FIXED(N752)&amp;" mengalami kenaikan sebesar Rp. "&amp;FIXED(AC752)&amp;" atau sebesar "&amp;FIXED(S752)&amp;"% dari tahun "&amp;'[1]2.ISIAN DATA SKPD'!D12&amp;"."</f>
        <v>Nilai Persediaan per 31 Desember 2018  dan 2017 masing-masing adalah sebesar Rp. 18.325.683,00 dan Rp. 10.955.445,00 mengalami kenaikan sebesar Rp. 7.370.238,00 atau sebesar 67,27% dari tahun 2017.</v>
      </c>
      <c r="D744" s="407"/>
      <c r="E744" s="407"/>
      <c r="F744" s="407"/>
      <c r="G744" s="407"/>
      <c r="H744" s="407"/>
      <c r="I744" s="407"/>
      <c r="J744" s="407"/>
      <c r="K744" s="407"/>
      <c r="L744" s="407"/>
      <c r="M744" s="407"/>
      <c r="N744" s="407"/>
      <c r="O744" s="407"/>
      <c r="P744" s="407"/>
      <c r="Q744" s="407"/>
      <c r="R744" s="407"/>
      <c r="S744" s="407"/>
      <c r="T744" s="407"/>
      <c r="U744" s="407"/>
      <c r="V744" s="23"/>
    </row>
    <row r="745" spans="1:32" s="16" customFormat="1" ht="79.5" customHeight="1" x14ac:dyDescent="0.2">
      <c r="A745" s="11"/>
      <c r="C745" s="407" t="str">
        <f>"Persediaan adalah aset lancar dalam bentuk barang atau perlengkapan yang dimaksudkan untuk mendukung kegiatan operasional pemerintah, dan/atau untuk dijual, dan/atau diserahkan dalam rangka pelayanan kepada masyarakat. Rincian Persediaan per "&amp;'[1]2.ISIAN DATA SKPD'!D8&amp;" dan "&amp;'[1]2.ISIAN DATA SKPD'!D12&amp;"  adalah sebagai berikut: "</f>
        <v xml:space="preserve">Persediaan adalah aset lancar dalam bentuk barang atau perlengkapan yang dimaksudkan untuk mendukung kegiatan operasional pemerintah, dan/atau untuk dijual, dan/atau diserahkan dalam rangka pelayanan kepada masyarakat. Rincian Persediaan per 31 Desember 2018 dan 2017  adalah sebagai berikut: </v>
      </c>
      <c r="D745" s="407"/>
      <c r="E745" s="407"/>
      <c r="F745" s="407"/>
      <c r="G745" s="407"/>
      <c r="H745" s="407"/>
      <c r="I745" s="407"/>
      <c r="J745" s="407"/>
      <c r="K745" s="407"/>
      <c r="L745" s="407"/>
      <c r="M745" s="407"/>
      <c r="N745" s="407"/>
      <c r="O745" s="407"/>
      <c r="P745" s="407"/>
      <c r="Q745" s="407"/>
      <c r="R745" s="407"/>
      <c r="S745" s="407"/>
      <c r="T745" s="407"/>
      <c r="U745" s="407"/>
      <c r="V745" s="23"/>
    </row>
    <row r="746" spans="1:32" s="16" customFormat="1" ht="15.75" customHeight="1" x14ac:dyDescent="0.2">
      <c r="A746" s="11"/>
      <c r="C746" s="77"/>
      <c r="D746" s="77"/>
      <c r="E746" s="77"/>
      <c r="F746" s="77"/>
      <c r="G746" s="77"/>
      <c r="H746" s="77"/>
      <c r="I746" s="77"/>
      <c r="J746" s="77"/>
      <c r="K746" s="77"/>
      <c r="L746" s="77"/>
      <c r="M746" s="77"/>
      <c r="N746" s="77"/>
      <c r="O746" s="77"/>
      <c r="P746" s="77"/>
      <c r="Q746" s="77"/>
      <c r="R746" s="77"/>
      <c r="S746" s="77"/>
      <c r="T746" s="77"/>
      <c r="U746" s="77"/>
      <c r="V746" s="23"/>
    </row>
    <row r="747" spans="1:32" s="16" customFormat="1" ht="15" customHeight="1" x14ac:dyDescent="0.2">
      <c r="A747" s="11"/>
      <c r="B747" s="452" t="s">
        <v>409</v>
      </c>
      <c r="C747" s="452"/>
      <c r="D747" s="452"/>
      <c r="E747" s="452"/>
      <c r="F747" s="452"/>
      <c r="G747" s="452"/>
      <c r="H747" s="452"/>
      <c r="I747" s="452"/>
      <c r="J747" s="452"/>
      <c r="K747" s="452"/>
      <c r="L747" s="452"/>
      <c r="M747" s="452"/>
      <c r="N747" s="452"/>
      <c r="O747" s="452"/>
      <c r="P747" s="452"/>
      <c r="Q747" s="452"/>
      <c r="R747" s="452"/>
      <c r="S747" s="452"/>
      <c r="T747" s="452"/>
      <c r="U747" s="452"/>
      <c r="V747" s="23"/>
    </row>
    <row r="748" spans="1:32" s="16" customFormat="1" ht="19.5" customHeight="1" x14ac:dyDescent="0.2">
      <c r="A748" s="11"/>
      <c r="B748" s="453" t="s">
        <v>410</v>
      </c>
      <c r="C748" s="454"/>
      <c r="D748" s="454"/>
      <c r="E748" s="454"/>
      <c r="F748" s="454"/>
      <c r="G748" s="454"/>
      <c r="H748" s="455"/>
      <c r="I748" s="894" t="str">
        <f>I735</f>
        <v>TA 2018</v>
      </c>
      <c r="J748" s="895"/>
      <c r="K748" s="895"/>
      <c r="L748" s="895"/>
      <c r="M748" s="896"/>
      <c r="N748" s="897" t="str">
        <f>N735</f>
        <v>TA 2017</v>
      </c>
      <c r="O748" s="898"/>
      <c r="P748" s="898"/>
      <c r="Q748" s="898"/>
      <c r="R748" s="898"/>
      <c r="S748" s="894" t="s">
        <v>40</v>
      </c>
      <c r="T748" s="895"/>
      <c r="U748" s="896"/>
      <c r="V748" s="780"/>
      <c r="W748" s="781"/>
      <c r="X748" s="782"/>
      <c r="Y748" s="783"/>
      <c r="Z748" s="781"/>
      <c r="AA748" s="781"/>
      <c r="AB748" s="782"/>
      <c r="AC748" s="892" t="s">
        <v>197</v>
      </c>
      <c r="AD748" s="472"/>
      <c r="AE748" s="472"/>
      <c r="AF748" s="472"/>
    </row>
    <row r="749" spans="1:32" s="16" customFormat="1" ht="29.25" customHeight="1" x14ac:dyDescent="0.2">
      <c r="A749" s="11"/>
      <c r="B749" s="888" t="str">
        <f>'[1]4.NERACA'!C44</f>
        <v>Persediaan Bahan Pakai Habis</v>
      </c>
      <c r="C749" s="889"/>
      <c r="D749" s="889"/>
      <c r="E749" s="889"/>
      <c r="F749" s="889"/>
      <c r="G749" s="889"/>
      <c r="H749" s="890"/>
      <c r="I749" s="891">
        <f>'[1]4.NERACA'!I44</f>
        <v>18325683</v>
      </c>
      <c r="J749" s="891"/>
      <c r="K749" s="891"/>
      <c r="L749" s="891"/>
      <c r="M749" s="891"/>
      <c r="N749" s="891">
        <f>'[1]4.NERACA'!D44</f>
        <v>10955445</v>
      </c>
      <c r="O749" s="891"/>
      <c r="P749" s="891"/>
      <c r="Q749" s="891"/>
      <c r="R749" s="891"/>
      <c r="S749" s="887">
        <f>(I749-N749)/N749*100</f>
        <v>67.274656574881249</v>
      </c>
      <c r="T749" s="887"/>
      <c r="U749" s="887"/>
      <c r="V749" s="810"/>
      <c r="W749" s="781"/>
      <c r="X749" s="782"/>
      <c r="Y749" s="783"/>
      <c r="Z749" s="781"/>
      <c r="AA749" s="781"/>
      <c r="AB749" s="782"/>
      <c r="AC749" s="471">
        <f>I749-N749</f>
        <v>7370238</v>
      </c>
      <c r="AD749" s="472"/>
      <c r="AE749" s="472"/>
      <c r="AF749" s="472"/>
    </row>
    <row r="750" spans="1:32" s="16" customFormat="1" ht="29.25" customHeight="1" x14ac:dyDescent="0.2">
      <c r="A750" s="11"/>
      <c r="B750" s="888" t="str">
        <f>'[1]4.NERACA'!C45</f>
        <v>Persediaan Bahan/Material</v>
      </c>
      <c r="C750" s="889"/>
      <c r="D750" s="889"/>
      <c r="E750" s="889"/>
      <c r="F750" s="889"/>
      <c r="G750" s="889"/>
      <c r="H750" s="890"/>
      <c r="I750" s="891">
        <f>'[1]4.NERACA'!I45</f>
        <v>0</v>
      </c>
      <c r="J750" s="891"/>
      <c r="K750" s="891"/>
      <c r="L750" s="891"/>
      <c r="M750" s="891"/>
      <c r="N750" s="891">
        <f>'[1]4.NERACA'!D45</f>
        <v>0</v>
      </c>
      <c r="O750" s="891"/>
      <c r="P750" s="891"/>
      <c r="Q750" s="891"/>
      <c r="R750" s="891"/>
      <c r="S750" s="891">
        <v>0</v>
      </c>
      <c r="T750" s="891"/>
      <c r="U750" s="891"/>
      <c r="V750" s="810"/>
      <c r="W750" s="781"/>
      <c r="X750" s="782"/>
      <c r="Y750" s="783"/>
      <c r="Z750" s="781"/>
      <c r="AA750" s="781"/>
      <c r="AB750" s="782"/>
      <c r="AC750" s="471">
        <f>I750-N750</f>
        <v>0</v>
      </c>
      <c r="AD750" s="472"/>
      <c r="AE750" s="472"/>
      <c r="AF750" s="472"/>
    </row>
    <row r="751" spans="1:32" s="16" customFormat="1" ht="29.25" customHeight="1" x14ac:dyDescent="0.2">
      <c r="A751" s="11"/>
      <c r="B751" s="888" t="str">
        <f>'[1]4.NERACA'!C46</f>
        <v>Persediaan Barang Lainnya</v>
      </c>
      <c r="C751" s="889"/>
      <c r="D751" s="889"/>
      <c r="E751" s="889"/>
      <c r="F751" s="889"/>
      <c r="G751" s="889"/>
      <c r="H751" s="890"/>
      <c r="I751" s="891">
        <f>'[1]4.NERACA'!I46</f>
        <v>0</v>
      </c>
      <c r="J751" s="891"/>
      <c r="K751" s="891"/>
      <c r="L751" s="891"/>
      <c r="M751" s="891"/>
      <c r="N751" s="891">
        <f>'[1]4.NERACA'!D46</f>
        <v>0</v>
      </c>
      <c r="O751" s="891"/>
      <c r="P751" s="891"/>
      <c r="Q751" s="891"/>
      <c r="R751" s="891"/>
      <c r="S751" s="891">
        <v>0</v>
      </c>
      <c r="T751" s="891"/>
      <c r="U751" s="891"/>
      <c r="V751" s="810"/>
      <c r="W751" s="781"/>
      <c r="X751" s="782"/>
      <c r="Y751" s="783"/>
      <c r="Z751" s="781"/>
      <c r="AA751" s="781"/>
      <c r="AB751" s="782"/>
      <c r="AC751" s="471">
        <f>I751-N751</f>
        <v>0</v>
      </c>
      <c r="AD751" s="472"/>
      <c r="AE751" s="472"/>
      <c r="AF751" s="472"/>
    </row>
    <row r="752" spans="1:32" s="16" customFormat="1" ht="24" customHeight="1" x14ac:dyDescent="0.2">
      <c r="A752" s="11"/>
      <c r="B752" s="883" t="s">
        <v>205</v>
      </c>
      <c r="C752" s="884"/>
      <c r="D752" s="884"/>
      <c r="E752" s="884"/>
      <c r="F752" s="884"/>
      <c r="G752" s="884"/>
      <c r="H752" s="885"/>
      <c r="I752" s="886">
        <f>SUM(I749:M751)</f>
        <v>18325683</v>
      </c>
      <c r="J752" s="886"/>
      <c r="K752" s="886"/>
      <c r="L752" s="886"/>
      <c r="M752" s="886"/>
      <c r="N752" s="886">
        <f>SUM(N749:R751)</f>
        <v>10955445</v>
      </c>
      <c r="O752" s="886"/>
      <c r="P752" s="886"/>
      <c r="Q752" s="886"/>
      <c r="R752" s="886"/>
      <c r="S752" s="887">
        <f>(I752-N752)/N752*100</f>
        <v>67.274656574881249</v>
      </c>
      <c r="T752" s="887"/>
      <c r="U752" s="887"/>
      <c r="V752" s="810"/>
      <c r="W752" s="781"/>
      <c r="X752" s="782"/>
      <c r="Y752" s="783"/>
      <c r="Z752" s="781"/>
      <c r="AA752" s="781"/>
      <c r="AB752" s="782"/>
      <c r="AC752" s="471">
        <f>I752-N752</f>
        <v>7370238</v>
      </c>
      <c r="AD752" s="472"/>
      <c r="AE752" s="472"/>
      <c r="AF752" s="472"/>
    </row>
    <row r="753" spans="1:22" s="16" customFormat="1" ht="19.5" customHeight="1" x14ac:dyDescent="0.2">
      <c r="A753" s="11"/>
      <c r="B753" s="77"/>
      <c r="C753" s="77"/>
      <c r="D753" s="77"/>
      <c r="E753" s="77"/>
      <c r="F753" s="77"/>
      <c r="G753" s="77"/>
      <c r="H753" s="77"/>
      <c r="I753" s="77"/>
      <c r="J753" s="77"/>
      <c r="K753" s="77"/>
      <c r="L753" s="77"/>
      <c r="M753" s="77"/>
      <c r="N753" s="77"/>
      <c r="O753" s="77"/>
      <c r="P753" s="77"/>
      <c r="Q753" s="77"/>
      <c r="R753" s="77"/>
      <c r="S753" s="77"/>
      <c r="T753" s="37"/>
      <c r="U753" s="37"/>
      <c r="V753" s="23"/>
    </row>
    <row r="754" spans="1:22" s="16" customFormat="1" ht="34.5" customHeight="1" x14ac:dyDescent="0.2">
      <c r="A754" s="11"/>
      <c r="C754" s="407" t="s">
        <v>411</v>
      </c>
      <c r="D754" s="407"/>
      <c r="E754" s="407"/>
      <c r="F754" s="407"/>
      <c r="G754" s="407"/>
      <c r="H754" s="407"/>
      <c r="I754" s="407"/>
      <c r="J754" s="407"/>
      <c r="K754" s="407"/>
      <c r="L754" s="407"/>
      <c r="M754" s="407"/>
      <c r="N754" s="407"/>
      <c r="O754" s="407"/>
      <c r="P754" s="407"/>
      <c r="Q754" s="407"/>
      <c r="R754" s="407"/>
      <c r="S754" s="407"/>
      <c r="T754" s="407"/>
      <c r="U754" s="407"/>
      <c r="V754" s="23"/>
    </row>
    <row r="755" spans="1:22" s="16" customFormat="1" ht="18" customHeight="1" x14ac:dyDescent="0.2">
      <c r="A755" s="11"/>
      <c r="C755" s="407" t="s">
        <v>412</v>
      </c>
      <c r="D755" s="407"/>
      <c r="E755" s="407"/>
      <c r="F755" s="407"/>
      <c r="G755" s="407"/>
      <c r="H755" s="407"/>
      <c r="I755" s="407"/>
      <c r="J755" s="407"/>
      <c r="K755" s="407"/>
      <c r="L755" s="407"/>
      <c r="M755" s="407"/>
      <c r="N755" s="407"/>
      <c r="O755" s="407"/>
      <c r="P755" s="407"/>
      <c r="Q755" s="407"/>
      <c r="R755" s="407"/>
      <c r="S755" s="407"/>
      <c r="T755" s="407"/>
      <c r="U755" s="407"/>
      <c r="V755" s="23"/>
    </row>
    <row r="756" spans="1:22" s="16" customFormat="1" ht="19.5" customHeight="1" x14ac:dyDescent="0.2">
      <c r="A756" s="11"/>
      <c r="C756" s="882" t="s">
        <v>413</v>
      </c>
      <c r="D756" s="882"/>
      <c r="E756" s="882"/>
      <c r="F756" s="882"/>
      <c r="G756" s="882"/>
      <c r="H756" s="882"/>
      <c r="I756" s="882"/>
      <c r="J756" s="882"/>
      <c r="K756" s="882"/>
      <c r="L756" s="882"/>
      <c r="M756" s="882"/>
      <c r="N756" s="882"/>
      <c r="O756" s="882"/>
      <c r="P756" s="882"/>
      <c r="Q756" s="882"/>
      <c r="R756" s="882"/>
      <c r="S756" s="882"/>
      <c r="T756" s="882"/>
      <c r="U756" s="882"/>
      <c r="V756" s="23"/>
    </row>
    <row r="757" spans="1:22" s="16" customFormat="1" ht="64.5" customHeight="1" x14ac:dyDescent="0.2">
      <c r="A757" s="11"/>
      <c r="C757" s="20"/>
      <c r="D757" s="407" t="str">
        <f>"Nilai Persediaan Bahan Pakai Habis sebesar Rp "&amp;FIXED(R767)&amp;" merupakan hasil pengadaan selama tahun anggaran "&amp;'[1]2.ISIAN DATA SKPD'!D11&amp;" yang sampai dengan tanggal 31 Desember "&amp;'[1]2.ISIAN DATA SKPD'!D11&amp;" belum terpakai habis dengan rincian sebagai berikut:"</f>
        <v>Nilai Persediaan Bahan Pakai Habis sebesar Rp 10.523.195,00 merupakan hasil pengadaan selama tahun anggaran 2018 yang sampai dengan tanggal 31 Desember 2018 belum terpakai habis dengan rincian sebagai berikut:</v>
      </c>
      <c r="E757" s="407"/>
      <c r="F757" s="407"/>
      <c r="G757" s="407"/>
      <c r="H757" s="407"/>
      <c r="I757" s="407"/>
      <c r="J757" s="407"/>
      <c r="K757" s="407"/>
      <c r="L757" s="407"/>
      <c r="M757" s="407"/>
      <c r="N757" s="407"/>
      <c r="O757" s="407"/>
      <c r="P757" s="407"/>
      <c r="Q757" s="407"/>
      <c r="R757" s="407"/>
      <c r="S757" s="407"/>
      <c r="T757" s="407"/>
      <c r="U757" s="407"/>
      <c r="V757" s="23"/>
    </row>
    <row r="758" spans="1:22" s="16" customFormat="1" ht="11.25" customHeight="1" x14ac:dyDescent="0.2">
      <c r="A758" s="11"/>
      <c r="C758" s="20"/>
      <c r="D758" s="77"/>
      <c r="E758" s="77"/>
      <c r="F758" s="77"/>
      <c r="G758" s="77"/>
      <c r="H758" s="77"/>
      <c r="I758" s="77"/>
      <c r="J758" s="77"/>
      <c r="K758" s="77"/>
      <c r="L758" s="77"/>
      <c r="M758" s="77"/>
      <c r="N758" s="77"/>
      <c r="O758" s="77"/>
      <c r="P758" s="77"/>
      <c r="Q758" s="77"/>
      <c r="R758" s="77"/>
      <c r="S758" s="77"/>
      <c r="T758" s="77"/>
      <c r="U758" s="77"/>
      <c r="V758" s="23"/>
    </row>
    <row r="759" spans="1:22" s="16" customFormat="1" ht="27" customHeight="1" x14ac:dyDescent="0.2">
      <c r="A759" s="11"/>
      <c r="B759" s="862" t="s">
        <v>346</v>
      </c>
      <c r="C759" s="864" t="s">
        <v>0</v>
      </c>
      <c r="D759" s="865"/>
      <c r="E759" s="866"/>
      <c r="F759" s="569" t="s">
        <v>347</v>
      </c>
      <c r="G759" s="570"/>
      <c r="H759" s="570"/>
      <c r="I759" s="571"/>
      <c r="J759" s="870" t="str">
        <f>J668</f>
        <v>MUTASI  TA 2018</v>
      </c>
      <c r="K759" s="871"/>
      <c r="L759" s="871"/>
      <c r="M759" s="871"/>
      <c r="N759" s="871"/>
      <c r="O759" s="871"/>
      <c r="P759" s="871"/>
      <c r="Q759" s="872"/>
      <c r="R759" s="569" t="s">
        <v>348</v>
      </c>
      <c r="S759" s="570"/>
      <c r="T759" s="570"/>
      <c r="U759" s="571"/>
      <c r="V759" s="23"/>
    </row>
    <row r="760" spans="1:22" s="16" customFormat="1" ht="22.5" customHeight="1" x14ac:dyDescent="0.2">
      <c r="A760" s="11"/>
      <c r="B760" s="863"/>
      <c r="C760" s="867"/>
      <c r="D760" s="868"/>
      <c r="E760" s="869"/>
      <c r="F760" s="870">
        <f>F681</f>
        <v>2017</v>
      </c>
      <c r="G760" s="570"/>
      <c r="H760" s="570"/>
      <c r="I760" s="571"/>
      <c r="J760" s="789" t="s">
        <v>349</v>
      </c>
      <c r="K760" s="790"/>
      <c r="L760" s="790"/>
      <c r="M760" s="791"/>
      <c r="N760" s="569" t="s">
        <v>350</v>
      </c>
      <c r="O760" s="570"/>
      <c r="P760" s="570"/>
      <c r="Q760" s="571"/>
      <c r="R760" s="569">
        <f>R681</f>
        <v>2018</v>
      </c>
      <c r="S760" s="570"/>
      <c r="T760" s="570"/>
      <c r="U760" s="571"/>
      <c r="V760" s="23"/>
    </row>
    <row r="761" spans="1:22" s="16" customFormat="1" ht="27" customHeight="1" x14ac:dyDescent="0.2">
      <c r="A761" s="11"/>
      <c r="B761" s="161">
        <v>1</v>
      </c>
      <c r="C761" s="878" t="s">
        <v>414</v>
      </c>
      <c r="D761" s="879"/>
      <c r="E761" s="880"/>
      <c r="F761" s="811">
        <v>234000</v>
      </c>
      <c r="G761" s="812"/>
      <c r="H761" s="812" t="s">
        <v>352</v>
      </c>
      <c r="I761" s="812"/>
      <c r="J761" s="814">
        <v>296047975</v>
      </c>
      <c r="K761" s="815" t="s">
        <v>353</v>
      </c>
      <c r="L761" s="815"/>
      <c r="M761" s="815"/>
      <c r="N761" s="811">
        <v>285758780</v>
      </c>
      <c r="O761" s="812" t="s">
        <v>353</v>
      </c>
      <c r="P761" s="812"/>
      <c r="Q761" s="812"/>
      <c r="R761" s="772">
        <f t="shared" ref="R761:R766" si="22">F761+J761-N761</f>
        <v>10523195</v>
      </c>
      <c r="S761" s="772"/>
      <c r="T761" s="772" t="s">
        <v>354</v>
      </c>
      <c r="U761" s="772"/>
      <c r="V761" s="23"/>
    </row>
    <row r="762" spans="1:22" s="16" customFormat="1" ht="19.5" customHeight="1" x14ac:dyDescent="0.2">
      <c r="A762" s="11"/>
      <c r="B762" s="161">
        <v>2</v>
      </c>
      <c r="C762" s="878" t="s">
        <v>415</v>
      </c>
      <c r="D762" s="879"/>
      <c r="E762" s="880"/>
      <c r="F762" s="811">
        <v>0</v>
      </c>
      <c r="G762" s="812"/>
      <c r="H762" s="812"/>
      <c r="I762" s="812"/>
      <c r="J762" s="814">
        <v>0</v>
      </c>
      <c r="K762" s="815"/>
      <c r="L762" s="815"/>
      <c r="M762" s="815"/>
      <c r="N762" s="811">
        <v>0</v>
      </c>
      <c r="O762" s="812"/>
      <c r="P762" s="812"/>
      <c r="Q762" s="812"/>
      <c r="R762" s="853">
        <f t="shared" si="22"/>
        <v>0</v>
      </c>
      <c r="S762" s="853"/>
      <c r="T762" s="853" t="s">
        <v>358</v>
      </c>
      <c r="U762" s="853"/>
      <c r="V762" s="23"/>
    </row>
    <row r="763" spans="1:22" s="16" customFormat="1" ht="23.25" customHeight="1" x14ac:dyDescent="0.2">
      <c r="A763" s="11"/>
      <c r="B763" s="161">
        <v>3</v>
      </c>
      <c r="C763" s="878" t="s">
        <v>416</v>
      </c>
      <c r="D763" s="879"/>
      <c r="E763" s="880"/>
      <c r="F763" s="811">
        <v>0</v>
      </c>
      <c r="G763" s="812"/>
      <c r="H763" s="812"/>
      <c r="I763" s="812"/>
      <c r="J763" s="814">
        <v>0</v>
      </c>
      <c r="K763" s="815"/>
      <c r="L763" s="815"/>
      <c r="M763" s="815"/>
      <c r="N763" s="811">
        <v>0</v>
      </c>
      <c r="O763" s="812"/>
      <c r="P763" s="812"/>
      <c r="Q763" s="812"/>
      <c r="R763" s="853">
        <f t="shared" si="22"/>
        <v>0</v>
      </c>
      <c r="S763" s="853"/>
      <c r="T763" s="853"/>
      <c r="U763" s="853"/>
      <c r="V763" s="23"/>
    </row>
    <row r="764" spans="1:22" s="16" customFormat="1" ht="24.75" customHeight="1" x14ac:dyDescent="0.2">
      <c r="A764" s="11"/>
      <c r="B764" s="161">
        <v>4</v>
      </c>
      <c r="C764" s="878" t="s">
        <v>417</v>
      </c>
      <c r="D764" s="879"/>
      <c r="E764" s="880"/>
      <c r="F764" s="811">
        <v>0</v>
      </c>
      <c r="G764" s="812"/>
      <c r="H764" s="812"/>
      <c r="I764" s="812"/>
      <c r="J764" s="814">
        <v>0</v>
      </c>
      <c r="K764" s="815"/>
      <c r="L764" s="815"/>
      <c r="M764" s="815"/>
      <c r="N764" s="811">
        <v>0</v>
      </c>
      <c r="O764" s="812"/>
      <c r="P764" s="812"/>
      <c r="Q764" s="812"/>
      <c r="R764" s="853">
        <f t="shared" si="22"/>
        <v>0</v>
      </c>
      <c r="S764" s="853"/>
      <c r="T764" s="853"/>
      <c r="U764" s="853"/>
      <c r="V764" s="23"/>
    </row>
    <row r="765" spans="1:22" s="16" customFormat="1" ht="28.5" customHeight="1" x14ac:dyDescent="0.2">
      <c r="A765" s="11"/>
      <c r="B765" s="161">
        <v>5</v>
      </c>
      <c r="C765" s="878" t="s">
        <v>418</v>
      </c>
      <c r="D765" s="879"/>
      <c r="E765" s="880"/>
      <c r="F765" s="811">
        <v>0</v>
      </c>
      <c r="G765" s="812"/>
      <c r="H765" s="812"/>
      <c r="I765" s="812"/>
      <c r="J765" s="814">
        <v>0</v>
      </c>
      <c r="K765" s="815"/>
      <c r="L765" s="815"/>
      <c r="M765" s="815"/>
      <c r="N765" s="811">
        <v>0</v>
      </c>
      <c r="O765" s="812"/>
      <c r="P765" s="812"/>
      <c r="Q765" s="812"/>
      <c r="R765" s="853">
        <f t="shared" si="22"/>
        <v>0</v>
      </c>
      <c r="S765" s="853"/>
      <c r="T765" s="853" t="s">
        <v>366</v>
      </c>
      <c r="U765" s="853"/>
      <c r="V765" s="23"/>
    </row>
    <row r="766" spans="1:22" s="16" customFormat="1" ht="24.75" customHeight="1" x14ac:dyDescent="0.2">
      <c r="A766" s="11"/>
      <c r="B766" s="161">
        <v>6</v>
      </c>
      <c r="C766" s="878" t="s">
        <v>419</v>
      </c>
      <c r="D766" s="879"/>
      <c r="E766" s="880"/>
      <c r="F766" s="811">
        <v>0</v>
      </c>
      <c r="G766" s="812"/>
      <c r="H766" s="812"/>
      <c r="I766" s="812"/>
      <c r="J766" s="814">
        <v>0</v>
      </c>
      <c r="K766" s="815"/>
      <c r="L766" s="815"/>
      <c r="M766" s="815"/>
      <c r="N766" s="811">
        <v>0</v>
      </c>
      <c r="O766" s="812"/>
      <c r="P766" s="812"/>
      <c r="Q766" s="812"/>
      <c r="R766" s="853">
        <f t="shared" si="22"/>
        <v>0</v>
      </c>
      <c r="S766" s="853"/>
      <c r="T766" s="853" t="s">
        <v>369</v>
      </c>
      <c r="U766" s="853"/>
      <c r="V766" s="23"/>
    </row>
    <row r="767" spans="1:22" s="16" customFormat="1" ht="17.25" customHeight="1" x14ac:dyDescent="0.2">
      <c r="A767" s="11"/>
      <c r="B767" s="184"/>
      <c r="C767" s="873" t="s">
        <v>205</v>
      </c>
      <c r="D767" s="874"/>
      <c r="E767" s="875"/>
      <c r="F767" s="823">
        <f>SUM(F761:I766)</f>
        <v>234000</v>
      </c>
      <c r="G767" s="824"/>
      <c r="H767" s="824" t="s">
        <v>368</v>
      </c>
      <c r="I767" s="824"/>
      <c r="J767" s="820">
        <f>SUM(J761:M766)</f>
        <v>296047975</v>
      </c>
      <c r="K767" s="821"/>
      <c r="L767" s="821"/>
      <c r="M767" s="821"/>
      <c r="N767" s="823">
        <f>SUM(N761:Q766)</f>
        <v>285758780</v>
      </c>
      <c r="O767" s="824"/>
      <c r="P767" s="824" t="s">
        <v>378</v>
      </c>
      <c r="Q767" s="824"/>
      <c r="R767" s="881">
        <f>SUM(R761:U766)</f>
        <v>10523195</v>
      </c>
      <c r="S767" s="881"/>
      <c r="T767" s="881" t="s">
        <v>379</v>
      </c>
      <c r="U767" s="881"/>
      <c r="V767" s="23"/>
    </row>
    <row r="768" spans="1:22" s="16" customFormat="1" ht="24.75" customHeight="1" x14ac:dyDescent="0.2">
      <c r="A768" s="11"/>
      <c r="B768" s="37"/>
      <c r="C768" s="37"/>
      <c r="D768" s="37"/>
      <c r="E768" s="37"/>
      <c r="F768" s="37"/>
      <c r="G768" s="37"/>
      <c r="H768" s="37"/>
      <c r="I768" s="37"/>
      <c r="J768" s="37"/>
      <c r="K768" s="37"/>
      <c r="L768" s="37"/>
      <c r="M768" s="37"/>
      <c r="N768" s="37"/>
      <c r="O768" s="37"/>
      <c r="P768" s="37"/>
      <c r="Q768" s="37"/>
      <c r="R768" s="37"/>
      <c r="S768" s="37"/>
      <c r="T768" s="37"/>
      <c r="U768" s="37"/>
      <c r="V768" s="23"/>
    </row>
    <row r="769" spans="1:32" s="16" customFormat="1" ht="19.5" customHeight="1" x14ac:dyDescent="0.2">
      <c r="A769" s="11"/>
      <c r="C769" s="411" t="s">
        <v>420</v>
      </c>
      <c r="D769" s="411"/>
      <c r="E769" s="411"/>
      <c r="F769" s="411"/>
      <c r="G769" s="411"/>
      <c r="H769" s="411"/>
      <c r="I769" s="411"/>
      <c r="J769" s="411"/>
      <c r="K769" s="411"/>
      <c r="L769" s="411"/>
      <c r="M769" s="411"/>
      <c r="N769" s="411"/>
      <c r="O769" s="411"/>
      <c r="P769" s="411"/>
      <c r="Q769" s="411"/>
      <c r="R769" s="411"/>
      <c r="S769" s="411"/>
      <c r="T769" s="411"/>
      <c r="U769" s="411"/>
      <c r="V769" s="23"/>
    </row>
    <row r="770" spans="1:32" s="16" customFormat="1" ht="61.5" customHeight="1" x14ac:dyDescent="0.2">
      <c r="A770" s="11"/>
      <c r="C770" s="20"/>
      <c r="D770" s="407" t="str">
        <f>"Nilai Persediaan Bahan/Material sebesar Rp "&amp;FIXED(R778)&amp;" merupakan hasil pengadaan selama tahun anggaran "&amp;'[1]2.ISIAN DATA SKPD'!D11&amp;" yang sampai dengan tanggal 31 Desember "&amp;'[1]2.ISIAN DATA SKPD'!D11&amp;" belum terpakai habis dengan rincian sebagai berikut:"</f>
        <v>Nilai Persediaan Bahan/Material sebesar Rp 0,00 merupakan hasil pengadaan selama tahun anggaran 2018 yang sampai dengan tanggal 31 Desember 2018 belum terpakai habis dengan rincian sebagai berikut:</v>
      </c>
      <c r="E770" s="407"/>
      <c r="F770" s="407"/>
      <c r="G770" s="407"/>
      <c r="H770" s="407"/>
      <c r="I770" s="407"/>
      <c r="J770" s="407"/>
      <c r="K770" s="407"/>
      <c r="L770" s="407"/>
      <c r="M770" s="407"/>
      <c r="N770" s="407"/>
      <c r="O770" s="407"/>
      <c r="P770" s="407"/>
      <c r="Q770" s="407"/>
      <c r="R770" s="407"/>
      <c r="S770" s="407"/>
      <c r="T770" s="407"/>
      <c r="U770" s="407"/>
      <c r="V770" s="23"/>
    </row>
    <row r="771" spans="1:32" s="16" customFormat="1" ht="18.75" customHeight="1" x14ac:dyDescent="0.2">
      <c r="A771" s="11"/>
      <c r="C771" s="20"/>
      <c r="D771" s="77"/>
      <c r="E771" s="77"/>
      <c r="F771" s="77"/>
      <c r="G771" s="77"/>
      <c r="H771" s="77"/>
      <c r="I771" s="77"/>
      <c r="J771" s="77"/>
      <c r="K771" s="77"/>
      <c r="L771" s="77"/>
      <c r="M771" s="77"/>
      <c r="N771" s="77"/>
      <c r="O771" s="77"/>
      <c r="P771" s="77"/>
      <c r="Q771" s="77"/>
      <c r="R771" s="77"/>
      <c r="S771" s="77"/>
      <c r="T771" s="77"/>
      <c r="U771" s="77"/>
      <c r="V771" s="23"/>
    </row>
    <row r="772" spans="1:32" s="16" customFormat="1" ht="24.75" customHeight="1" x14ac:dyDescent="0.2">
      <c r="A772" s="11"/>
      <c r="B772" s="862" t="s">
        <v>346</v>
      </c>
      <c r="C772" s="864" t="s">
        <v>0</v>
      </c>
      <c r="D772" s="865"/>
      <c r="E772" s="866"/>
      <c r="F772" s="569" t="s">
        <v>347</v>
      </c>
      <c r="G772" s="570"/>
      <c r="H772" s="570"/>
      <c r="I772" s="571"/>
      <c r="J772" s="870" t="str">
        <f>J759</f>
        <v>MUTASI  TA 2018</v>
      </c>
      <c r="K772" s="871"/>
      <c r="L772" s="871"/>
      <c r="M772" s="871"/>
      <c r="N772" s="871"/>
      <c r="O772" s="871"/>
      <c r="P772" s="871"/>
      <c r="Q772" s="872"/>
      <c r="R772" s="569" t="s">
        <v>348</v>
      </c>
      <c r="S772" s="570"/>
      <c r="T772" s="570"/>
      <c r="U772" s="571"/>
      <c r="V772" s="23"/>
    </row>
    <row r="773" spans="1:32" s="16" customFormat="1" ht="24.75" customHeight="1" x14ac:dyDescent="0.2">
      <c r="A773" s="11"/>
      <c r="B773" s="863"/>
      <c r="C773" s="867"/>
      <c r="D773" s="868"/>
      <c r="E773" s="869"/>
      <c r="F773" s="870">
        <f>F760</f>
        <v>2017</v>
      </c>
      <c r="G773" s="570"/>
      <c r="H773" s="570"/>
      <c r="I773" s="571"/>
      <c r="J773" s="789" t="s">
        <v>349</v>
      </c>
      <c r="K773" s="790"/>
      <c r="L773" s="790"/>
      <c r="M773" s="791"/>
      <c r="N773" s="569" t="s">
        <v>350</v>
      </c>
      <c r="O773" s="570"/>
      <c r="P773" s="570"/>
      <c r="Q773" s="571"/>
      <c r="R773" s="562">
        <f>R760</f>
        <v>2018</v>
      </c>
      <c r="S773" s="562"/>
      <c r="T773" s="562"/>
      <c r="U773" s="562"/>
      <c r="V773" s="876"/>
      <c r="W773" s="876"/>
      <c r="X773" s="876"/>
      <c r="Y773" s="877"/>
      <c r="Z773" s="579"/>
      <c r="AA773" s="579"/>
      <c r="AB773" s="579"/>
      <c r="AC773" s="877"/>
      <c r="AD773" s="579"/>
      <c r="AE773" s="579"/>
      <c r="AF773" s="579"/>
    </row>
    <row r="774" spans="1:32" s="16" customFormat="1" ht="27" customHeight="1" x14ac:dyDescent="0.2">
      <c r="A774" s="11"/>
      <c r="B774" s="161">
        <v>1</v>
      </c>
      <c r="C774" s="850" t="s">
        <v>421</v>
      </c>
      <c r="D774" s="851"/>
      <c r="E774" s="852"/>
      <c r="F774" s="811">
        <v>0</v>
      </c>
      <c r="G774" s="812"/>
      <c r="H774" s="812" t="s">
        <v>352</v>
      </c>
      <c r="I774" s="812"/>
      <c r="J774" s="814">
        <v>380542200</v>
      </c>
      <c r="K774" s="815" t="s">
        <v>353</v>
      </c>
      <c r="L774" s="815"/>
      <c r="M774" s="815"/>
      <c r="N774" s="811">
        <v>380542200</v>
      </c>
      <c r="O774" s="812" t="s">
        <v>353</v>
      </c>
      <c r="P774" s="812"/>
      <c r="Q774" s="812"/>
      <c r="R774" s="853">
        <f>F774+J774-N774</f>
        <v>0</v>
      </c>
      <c r="S774" s="853"/>
      <c r="T774" s="853" t="s">
        <v>354</v>
      </c>
      <c r="U774" s="853"/>
      <c r="V774" s="576"/>
      <c r="W774" s="576"/>
      <c r="X774" s="576"/>
      <c r="Y774" s="578"/>
      <c r="Z774" s="579"/>
      <c r="AA774" s="579"/>
      <c r="AB774" s="579"/>
      <c r="AC774" s="578"/>
      <c r="AD774" s="579"/>
      <c r="AE774" s="579"/>
      <c r="AF774" s="579"/>
    </row>
    <row r="775" spans="1:32" s="16" customFormat="1" ht="22.5" customHeight="1" x14ac:dyDescent="0.2">
      <c r="A775" s="11"/>
      <c r="B775" s="161">
        <v>2</v>
      </c>
      <c r="C775" s="850" t="s">
        <v>422</v>
      </c>
      <c r="D775" s="851"/>
      <c r="E775" s="852"/>
      <c r="F775" s="811">
        <v>0</v>
      </c>
      <c r="G775" s="812"/>
      <c r="H775" s="812" t="s">
        <v>423</v>
      </c>
      <c r="I775" s="812"/>
      <c r="J775" s="814">
        <v>0</v>
      </c>
      <c r="K775" s="815" t="s">
        <v>424</v>
      </c>
      <c r="L775" s="815"/>
      <c r="M775" s="815"/>
      <c r="N775" s="811">
        <v>0</v>
      </c>
      <c r="O775" s="812" t="s">
        <v>424</v>
      </c>
      <c r="P775" s="812"/>
      <c r="Q775" s="812"/>
      <c r="R775" s="853">
        <f>F775+J775-N775</f>
        <v>0</v>
      </c>
      <c r="S775" s="853"/>
      <c r="T775" s="853" t="s">
        <v>358</v>
      </c>
      <c r="U775" s="853"/>
      <c r="V775" s="576"/>
      <c r="W775" s="576"/>
      <c r="X775" s="576"/>
      <c r="Y775" s="578"/>
      <c r="Z775" s="579"/>
      <c r="AA775" s="579"/>
      <c r="AB775" s="579"/>
      <c r="AC775" s="578"/>
      <c r="AD775" s="579"/>
      <c r="AE775" s="579"/>
      <c r="AF775" s="579"/>
    </row>
    <row r="776" spans="1:32" s="16" customFormat="1" ht="18.75" customHeight="1" x14ac:dyDescent="0.2">
      <c r="A776" s="11"/>
      <c r="B776" s="161">
        <v>3</v>
      </c>
      <c r="C776" s="850" t="s">
        <v>425</v>
      </c>
      <c r="D776" s="851"/>
      <c r="E776" s="852"/>
      <c r="F776" s="811">
        <v>0</v>
      </c>
      <c r="G776" s="812"/>
      <c r="H776" s="812" t="s">
        <v>426</v>
      </c>
      <c r="I776" s="812"/>
      <c r="J776" s="814">
        <v>0</v>
      </c>
      <c r="K776" s="815" t="s">
        <v>427</v>
      </c>
      <c r="L776" s="815"/>
      <c r="M776" s="815"/>
      <c r="N776" s="811">
        <v>0</v>
      </c>
      <c r="O776" s="812" t="s">
        <v>427</v>
      </c>
      <c r="P776" s="812"/>
      <c r="Q776" s="812"/>
      <c r="R776" s="853">
        <f>F776+J776-N776</f>
        <v>0</v>
      </c>
      <c r="S776" s="853"/>
      <c r="T776" s="853" t="s">
        <v>361</v>
      </c>
      <c r="U776" s="853"/>
      <c r="V776" s="576"/>
      <c r="W776" s="576"/>
      <c r="X776" s="576"/>
      <c r="Y776" s="578"/>
      <c r="Z776" s="579"/>
      <c r="AA776" s="579"/>
      <c r="AB776" s="579"/>
      <c r="AC776" s="578"/>
      <c r="AD776" s="579"/>
      <c r="AE776" s="579"/>
      <c r="AF776" s="579"/>
    </row>
    <row r="777" spans="1:32" s="16" customFormat="1" ht="18.75" customHeight="1" x14ac:dyDescent="0.2">
      <c r="A777" s="11"/>
      <c r="B777" s="161">
        <v>4</v>
      </c>
      <c r="C777" s="850" t="s">
        <v>428</v>
      </c>
      <c r="D777" s="851"/>
      <c r="E777" s="852"/>
      <c r="F777" s="811">
        <v>0</v>
      </c>
      <c r="G777" s="812"/>
      <c r="H777" s="812" t="s">
        <v>429</v>
      </c>
      <c r="I777" s="812"/>
      <c r="J777" s="814">
        <v>0</v>
      </c>
      <c r="K777" s="815" t="s">
        <v>430</v>
      </c>
      <c r="L777" s="815"/>
      <c r="M777" s="815"/>
      <c r="N777" s="811">
        <v>0</v>
      </c>
      <c r="O777" s="812" t="s">
        <v>430</v>
      </c>
      <c r="P777" s="812"/>
      <c r="Q777" s="812"/>
      <c r="R777" s="853">
        <f>F777+J777-N777</f>
        <v>0</v>
      </c>
      <c r="S777" s="853"/>
      <c r="T777" s="853" t="s">
        <v>364</v>
      </c>
      <c r="U777" s="853"/>
      <c r="V777" s="576"/>
      <c r="W777" s="576"/>
      <c r="X777" s="576"/>
      <c r="Y777" s="578"/>
      <c r="Z777" s="579"/>
      <c r="AA777" s="579"/>
      <c r="AB777" s="579"/>
      <c r="AC777" s="578"/>
      <c r="AD777" s="579"/>
      <c r="AE777" s="579"/>
      <c r="AF777" s="579"/>
    </row>
    <row r="778" spans="1:32" s="16" customFormat="1" ht="14.25" customHeight="1" x14ac:dyDescent="0.3">
      <c r="A778" s="11"/>
      <c r="B778" s="171"/>
      <c r="C778" s="873" t="s">
        <v>205</v>
      </c>
      <c r="D778" s="874"/>
      <c r="E778" s="875"/>
      <c r="F778" s="857">
        <f>SUM(F774:I777)</f>
        <v>0</v>
      </c>
      <c r="G778" s="858"/>
      <c r="H778" s="858" t="s">
        <v>368</v>
      </c>
      <c r="I778" s="858"/>
      <c r="J778" s="859">
        <f>SUM(J774:M777)</f>
        <v>380542200</v>
      </c>
      <c r="K778" s="860"/>
      <c r="L778" s="860" t="s">
        <v>371</v>
      </c>
      <c r="M778" s="860"/>
      <c r="N778" s="857">
        <f>SUM(N774:Q777)</f>
        <v>380542200</v>
      </c>
      <c r="O778" s="858"/>
      <c r="P778" s="858" t="s">
        <v>378</v>
      </c>
      <c r="Q778" s="858"/>
      <c r="R778" s="861">
        <f>SUM(R774:U777)</f>
        <v>0</v>
      </c>
      <c r="S778" s="861"/>
      <c r="T778" s="861" t="s">
        <v>379</v>
      </c>
      <c r="U778" s="861"/>
      <c r="V778" s="576"/>
      <c r="W778" s="576"/>
      <c r="X778" s="576"/>
      <c r="Y778" s="578"/>
      <c r="Z778" s="579"/>
      <c r="AA778" s="579"/>
      <c r="AB778" s="579"/>
      <c r="AC778" s="578"/>
      <c r="AD778" s="579"/>
      <c r="AE778" s="579"/>
      <c r="AF778" s="579"/>
    </row>
    <row r="779" spans="1:32" s="16" customFormat="1" ht="14.25" customHeight="1" x14ac:dyDescent="0.2">
      <c r="A779" s="11"/>
      <c r="B779" s="77"/>
      <c r="C779" s="77"/>
      <c r="D779" s="77"/>
      <c r="E779" s="77"/>
      <c r="F779" s="77"/>
      <c r="G779" s="77"/>
      <c r="H779" s="77"/>
      <c r="I779" s="77"/>
      <c r="J779" s="77"/>
      <c r="K779" s="77"/>
      <c r="L779" s="77"/>
      <c r="M779" s="77"/>
      <c r="N779" s="77"/>
      <c r="O779" s="77"/>
      <c r="P779" s="77"/>
      <c r="Q779" s="77"/>
      <c r="R779" s="77"/>
      <c r="S779" s="77"/>
      <c r="T779" s="37"/>
      <c r="U779" s="37"/>
      <c r="V779" s="23"/>
    </row>
    <row r="780" spans="1:32" s="16" customFormat="1" ht="14.25" customHeight="1" x14ac:dyDescent="0.2">
      <c r="A780" s="11"/>
      <c r="B780" s="77"/>
      <c r="C780" s="534" t="s">
        <v>431</v>
      </c>
      <c r="D780" s="534"/>
      <c r="E780" s="534"/>
      <c r="F780" s="534"/>
      <c r="G780" s="534"/>
      <c r="H780" s="534"/>
      <c r="I780" s="534"/>
      <c r="J780" s="534"/>
      <c r="K780" s="534"/>
      <c r="L780" s="534"/>
      <c r="M780" s="534"/>
      <c r="N780" s="534"/>
      <c r="O780" s="534"/>
      <c r="P780" s="534"/>
      <c r="Q780" s="534"/>
      <c r="R780" s="534"/>
      <c r="S780" s="534"/>
      <c r="T780" s="534"/>
      <c r="U780" s="534"/>
      <c r="V780" s="23"/>
    </row>
    <row r="781" spans="1:32" s="16" customFormat="1" ht="65.25" customHeight="1" x14ac:dyDescent="0.2">
      <c r="A781" s="11"/>
      <c r="B781" s="77"/>
      <c r="C781" s="77"/>
      <c r="D781" s="407" t="str">
        <f>"Nilai Persediaan Barang Lainnya sebesar Rp "&amp;FIXED(R787)&amp;" merupakan hasil pengadaan selama tahun anggaran "&amp;'[1]2.ISIAN DATA SKPD'!D11&amp;" yang sampai dengan tanggal 31 Desember "&amp;'[1]2.ISIAN DATA SKPD'!D11&amp;" belum terpakai habis dengan rincian sebagai berikut:"</f>
        <v>Nilai Persediaan Barang Lainnya sebesar Rp 0,00 merupakan hasil pengadaan selama tahun anggaran 2018 yang sampai dengan tanggal 31 Desember 2018 belum terpakai habis dengan rincian sebagai berikut:</v>
      </c>
      <c r="E781" s="407"/>
      <c r="F781" s="407"/>
      <c r="G781" s="407"/>
      <c r="H781" s="407"/>
      <c r="I781" s="407"/>
      <c r="J781" s="407"/>
      <c r="K781" s="407"/>
      <c r="L781" s="407"/>
      <c r="M781" s="407"/>
      <c r="N781" s="407"/>
      <c r="O781" s="407"/>
      <c r="P781" s="407"/>
      <c r="Q781" s="407"/>
      <c r="R781" s="407"/>
      <c r="S781" s="407"/>
      <c r="T781" s="407"/>
      <c r="U781" s="407"/>
      <c r="V781" s="23"/>
    </row>
    <row r="782" spans="1:32" s="16" customFormat="1" ht="18" customHeight="1" x14ac:dyDescent="0.2">
      <c r="A782" s="11"/>
      <c r="B782" s="77"/>
      <c r="C782" s="77"/>
      <c r="D782" s="77"/>
      <c r="E782" s="77"/>
      <c r="F782" s="77"/>
      <c r="G782" s="77"/>
      <c r="H782" s="77"/>
      <c r="I782" s="77"/>
      <c r="J782" s="77"/>
      <c r="K782" s="77"/>
      <c r="L782" s="77"/>
      <c r="M782" s="77"/>
      <c r="N782" s="77"/>
      <c r="O782" s="77"/>
      <c r="P782" s="77"/>
      <c r="Q782" s="77"/>
      <c r="R782" s="77"/>
      <c r="S782" s="77"/>
      <c r="T782" s="77"/>
      <c r="U782" s="77"/>
      <c r="V782" s="23"/>
    </row>
    <row r="783" spans="1:32" s="16" customFormat="1" ht="21.75" customHeight="1" x14ac:dyDescent="0.2">
      <c r="A783" s="11"/>
      <c r="B783" s="862" t="s">
        <v>346</v>
      </c>
      <c r="C783" s="864" t="s">
        <v>0</v>
      </c>
      <c r="D783" s="865"/>
      <c r="E783" s="866"/>
      <c r="F783" s="569" t="s">
        <v>347</v>
      </c>
      <c r="G783" s="570"/>
      <c r="H783" s="570"/>
      <c r="I783" s="571"/>
      <c r="J783" s="870" t="str">
        <f>J772</f>
        <v>MUTASI  TA 2018</v>
      </c>
      <c r="K783" s="871"/>
      <c r="L783" s="871"/>
      <c r="M783" s="871"/>
      <c r="N783" s="871"/>
      <c r="O783" s="871"/>
      <c r="P783" s="871"/>
      <c r="Q783" s="872"/>
      <c r="R783" s="569" t="s">
        <v>348</v>
      </c>
      <c r="S783" s="570"/>
      <c r="T783" s="570"/>
      <c r="U783" s="571"/>
      <c r="V783" s="23"/>
    </row>
    <row r="784" spans="1:32" s="16" customFormat="1" ht="17.25" customHeight="1" x14ac:dyDescent="0.2">
      <c r="A784" s="11"/>
      <c r="B784" s="863"/>
      <c r="C784" s="867"/>
      <c r="D784" s="868"/>
      <c r="E784" s="869"/>
      <c r="F784" s="870">
        <f>F773</f>
        <v>2017</v>
      </c>
      <c r="G784" s="570"/>
      <c r="H784" s="570"/>
      <c r="I784" s="571"/>
      <c r="J784" s="789" t="s">
        <v>349</v>
      </c>
      <c r="K784" s="790"/>
      <c r="L784" s="790"/>
      <c r="M784" s="791"/>
      <c r="N784" s="569" t="s">
        <v>350</v>
      </c>
      <c r="O784" s="570"/>
      <c r="P784" s="570"/>
      <c r="Q784" s="571"/>
      <c r="R784" s="569">
        <f>R773</f>
        <v>2018</v>
      </c>
      <c r="S784" s="570"/>
      <c r="T784" s="570"/>
      <c r="U784" s="571"/>
      <c r="V784" s="23"/>
    </row>
    <row r="785" spans="1:32" s="16" customFormat="1" ht="52.5" customHeight="1" x14ac:dyDescent="0.2">
      <c r="A785" s="11"/>
      <c r="B785" s="161">
        <v>1</v>
      </c>
      <c r="C785" s="850" t="s">
        <v>432</v>
      </c>
      <c r="D785" s="851"/>
      <c r="E785" s="852"/>
      <c r="F785" s="811">
        <v>0</v>
      </c>
      <c r="G785" s="812"/>
      <c r="H785" s="812" t="s">
        <v>352</v>
      </c>
      <c r="I785" s="812"/>
      <c r="J785" s="814">
        <v>0</v>
      </c>
      <c r="K785" s="815" t="s">
        <v>353</v>
      </c>
      <c r="L785" s="815"/>
      <c r="M785" s="815"/>
      <c r="N785" s="811">
        <v>0</v>
      </c>
      <c r="O785" s="812" t="s">
        <v>353</v>
      </c>
      <c r="P785" s="812"/>
      <c r="Q785" s="812"/>
      <c r="R785" s="853">
        <f>F785+J785-N785</f>
        <v>0</v>
      </c>
      <c r="S785" s="853"/>
      <c r="T785" s="853" t="s">
        <v>354</v>
      </c>
      <c r="U785" s="853"/>
      <c r="V785" s="23"/>
    </row>
    <row r="786" spans="1:32" s="16" customFormat="1" ht="14.25" customHeight="1" x14ac:dyDescent="0.2">
      <c r="A786" s="11"/>
      <c r="B786" s="161">
        <v>2</v>
      </c>
      <c r="C786" s="850" t="s">
        <v>433</v>
      </c>
      <c r="D786" s="851"/>
      <c r="E786" s="852"/>
      <c r="F786" s="811">
        <v>0</v>
      </c>
      <c r="G786" s="812"/>
      <c r="H786" s="812" t="s">
        <v>423</v>
      </c>
      <c r="I786" s="812"/>
      <c r="J786" s="814">
        <v>0</v>
      </c>
      <c r="K786" s="815" t="s">
        <v>424</v>
      </c>
      <c r="L786" s="815"/>
      <c r="M786" s="815"/>
      <c r="N786" s="811">
        <v>0</v>
      </c>
      <c r="O786" s="812" t="s">
        <v>424</v>
      </c>
      <c r="P786" s="812"/>
      <c r="Q786" s="812"/>
      <c r="R786" s="853">
        <f>F786+J786-N786</f>
        <v>0</v>
      </c>
      <c r="S786" s="853"/>
      <c r="T786" s="853" t="s">
        <v>358</v>
      </c>
      <c r="U786" s="853"/>
      <c r="V786" s="23"/>
    </row>
    <row r="787" spans="1:32" s="16" customFormat="1" ht="21.75" customHeight="1" x14ac:dyDescent="0.2">
      <c r="A787" s="11"/>
      <c r="B787" s="185"/>
      <c r="C787" s="854" t="s">
        <v>205</v>
      </c>
      <c r="D787" s="855"/>
      <c r="E787" s="856"/>
      <c r="F787" s="857">
        <f>SUM(F785:I786)</f>
        <v>0</v>
      </c>
      <c r="G787" s="858"/>
      <c r="H787" s="858" t="s">
        <v>426</v>
      </c>
      <c r="I787" s="858"/>
      <c r="J787" s="859">
        <f>SUM(J785:M786)</f>
        <v>0</v>
      </c>
      <c r="K787" s="860"/>
      <c r="L787" s="860" t="s">
        <v>426</v>
      </c>
      <c r="M787" s="860"/>
      <c r="N787" s="857">
        <f>SUM(N785:Q786)</f>
        <v>0</v>
      </c>
      <c r="O787" s="858"/>
      <c r="P787" s="858" t="s">
        <v>426</v>
      </c>
      <c r="Q787" s="858"/>
      <c r="R787" s="861">
        <f>SUM(R785:U786)</f>
        <v>0</v>
      </c>
      <c r="S787" s="861"/>
      <c r="T787" s="861" t="s">
        <v>426</v>
      </c>
      <c r="U787" s="861"/>
      <c r="V787" s="23"/>
    </row>
    <row r="788" spans="1:32" s="16" customFormat="1" ht="14.25" customHeight="1" x14ac:dyDescent="0.2">
      <c r="A788" s="11"/>
      <c r="B788" s="77"/>
      <c r="C788" s="77"/>
      <c r="D788" s="77"/>
      <c r="E788" s="77"/>
      <c r="F788" s="77"/>
      <c r="G788" s="77"/>
      <c r="H788" s="77"/>
      <c r="I788" s="77"/>
      <c r="J788" s="77"/>
      <c r="K788" s="77"/>
      <c r="L788" s="77"/>
      <c r="M788" s="77"/>
      <c r="N788" s="77"/>
      <c r="O788" s="77"/>
      <c r="P788" s="77"/>
      <c r="Q788" s="77"/>
      <c r="R788" s="77"/>
      <c r="S788" s="77"/>
      <c r="T788" s="37"/>
      <c r="U788" s="37"/>
      <c r="V788" s="23"/>
    </row>
    <row r="789" spans="1:32" s="16" customFormat="1" ht="14.25" customHeight="1" x14ac:dyDescent="0.2">
      <c r="A789" s="11"/>
      <c r="B789" s="186" t="s">
        <v>434</v>
      </c>
      <c r="C789" s="37"/>
      <c r="D789" s="37"/>
      <c r="E789" s="37"/>
      <c r="F789" s="37"/>
      <c r="G789" s="37"/>
      <c r="H789" s="37"/>
      <c r="I789" s="37"/>
      <c r="J789" s="37"/>
      <c r="K789" s="37"/>
      <c r="L789" s="37"/>
      <c r="M789" s="37"/>
      <c r="N789" s="37"/>
      <c r="O789" s="37"/>
      <c r="P789" s="37"/>
      <c r="Q789" s="37"/>
      <c r="R789" s="37"/>
      <c r="S789" s="37"/>
      <c r="T789" s="37"/>
      <c r="U789" s="37"/>
      <c r="V789" s="23"/>
    </row>
    <row r="790" spans="1:32" s="16" customFormat="1" ht="14.25" customHeight="1" x14ac:dyDescent="0.2">
      <c r="A790" s="11"/>
      <c r="B790" s="37"/>
      <c r="C790" s="37"/>
      <c r="D790" s="37"/>
      <c r="E790" s="37"/>
      <c r="F790" s="37"/>
      <c r="G790" s="37"/>
      <c r="H790" s="37"/>
      <c r="I790" s="37"/>
      <c r="J790" s="37"/>
      <c r="K790" s="37"/>
      <c r="L790" s="37"/>
      <c r="M790" s="37"/>
      <c r="N790" s="37"/>
      <c r="O790" s="37"/>
      <c r="P790" s="37"/>
      <c r="Q790" s="37"/>
      <c r="R790" s="37"/>
      <c r="S790" s="37"/>
      <c r="T790" s="37"/>
      <c r="U790" s="37"/>
      <c r="V790" s="23"/>
    </row>
    <row r="791" spans="1:32" s="16" customFormat="1" ht="23.25" customHeight="1" x14ac:dyDescent="0.2">
      <c r="A791" s="11"/>
      <c r="B791" s="186" t="s">
        <v>435</v>
      </c>
      <c r="C791" s="186"/>
      <c r="D791" s="40"/>
      <c r="E791" s="40"/>
      <c r="F791" s="40"/>
      <c r="G791" s="40"/>
      <c r="H791" s="40"/>
      <c r="I791" s="40"/>
      <c r="J791" s="40"/>
      <c r="K791" s="40"/>
      <c r="L791" s="40"/>
      <c r="M791" s="40"/>
      <c r="N791" s="40"/>
      <c r="O791" s="40"/>
      <c r="P791" s="40"/>
      <c r="Q791" s="40"/>
      <c r="R791" s="37"/>
      <c r="S791" s="37"/>
      <c r="T791" s="37"/>
      <c r="U791" s="37"/>
      <c r="V791" s="23"/>
    </row>
    <row r="792" spans="1:32" s="16" customFormat="1" ht="96.75" customHeight="1" x14ac:dyDescent="0.2">
      <c r="A792" s="11"/>
      <c r="B792" s="35"/>
      <c r="C792" s="408" t="str">
        <f>"Aset Tetap per "&amp;'[1]2.ISIAN DATA SKPD'!D8&amp;" senilai Rp "&amp;FIXED(I802)&amp;" merupakan aset tetap yang dikelola oleh "&amp;'[1]2.ISIAN DATA SKPD'!D2&amp;" dengan saldo akhir Tahun "&amp;'[1]2.ISIAN DATA SKPD'!D12&amp;" sebesar Rp "&amp;FIXED(N802)&amp;"  mengalami kenaikan sebesar Rp. "&amp;FIXED(AC802)&amp;" atau "&amp;FIXED(S802)&amp;"% dari tahun "&amp;'[1]2.ISIAN DATA SKPD'!D12&amp;".  Adapun rincian asset tetap selama Tahun "&amp;'[1]2.ISIAN DATA SKPD'!D11&amp;" adalah sebagai berikut:"</f>
        <v>Aset Tetap per 31 Desember 2018 senilai Rp 39.835.190.591,00 merupakan aset tetap yang dikelola oleh Dinas Pariwisata Dan Kebudayaan dengan saldo akhir Tahun 2017 sebesar Rp 25.263.011.706,47  mengalami kenaikan sebesar Rp. 14.572.178.884,53 atau 57,68% dari tahun 2017.  Adapun rincian asset tetap selama Tahun 2018 adalah sebagai berikut:</v>
      </c>
      <c r="D792" s="408"/>
      <c r="E792" s="408"/>
      <c r="F792" s="408"/>
      <c r="G792" s="408"/>
      <c r="H792" s="408"/>
      <c r="I792" s="408"/>
      <c r="J792" s="408"/>
      <c r="K792" s="408"/>
      <c r="L792" s="408"/>
      <c r="M792" s="408"/>
      <c r="N792" s="408"/>
      <c r="O792" s="408"/>
      <c r="P792" s="408"/>
      <c r="Q792" s="408"/>
      <c r="R792" s="408"/>
      <c r="S792" s="408"/>
      <c r="T792" s="408"/>
      <c r="U792" s="408"/>
      <c r="V792" s="23"/>
    </row>
    <row r="793" spans="1:32" s="16" customFormat="1" ht="12" customHeight="1" x14ac:dyDescent="0.2">
      <c r="A793" s="11"/>
      <c r="C793" s="77"/>
      <c r="D793" s="77"/>
      <c r="E793" s="77"/>
      <c r="F793" s="77"/>
      <c r="G793" s="77"/>
      <c r="H793" s="77"/>
      <c r="I793" s="77"/>
      <c r="J793" s="77"/>
      <c r="K793" s="77"/>
      <c r="L793" s="77"/>
      <c r="M793" s="77"/>
      <c r="N793" s="77"/>
      <c r="O793" s="77"/>
      <c r="P793" s="77"/>
      <c r="Q793" s="77"/>
      <c r="R793" s="77"/>
      <c r="S793" s="77"/>
      <c r="T793" s="77"/>
      <c r="U793" s="77"/>
      <c r="V793" s="23"/>
    </row>
    <row r="794" spans="1:32" s="16" customFormat="1" ht="18" customHeight="1" x14ac:dyDescent="0.2">
      <c r="A794" s="11"/>
      <c r="B794" s="452" t="s">
        <v>436</v>
      </c>
      <c r="C794" s="452"/>
      <c r="D794" s="452"/>
      <c r="E794" s="452"/>
      <c r="F794" s="452"/>
      <c r="G794" s="452"/>
      <c r="H794" s="452"/>
      <c r="I794" s="452"/>
      <c r="J794" s="452"/>
      <c r="K794" s="452"/>
      <c r="L794" s="452"/>
      <c r="M794" s="452"/>
      <c r="N794" s="452"/>
      <c r="O794" s="452"/>
      <c r="P794" s="452"/>
      <c r="Q794" s="452"/>
      <c r="R794" s="452"/>
      <c r="S794" s="452"/>
      <c r="T794" s="452"/>
      <c r="U794" s="452"/>
      <c r="V794" s="23"/>
    </row>
    <row r="795" spans="1:32" s="16" customFormat="1" ht="15.75" customHeight="1" x14ac:dyDescent="0.2">
      <c r="A795" s="838" t="s">
        <v>437</v>
      </c>
      <c r="B795" s="839"/>
      <c r="C795" s="839"/>
      <c r="D795" s="839"/>
      <c r="E795" s="839"/>
      <c r="F795" s="839"/>
      <c r="G795" s="839"/>
      <c r="H795" s="840"/>
      <c r="I795" s="841">
        <f>R784</f>
        <v>2018</v>
      </c>
      <c r="J795" s="842"/>
      <c r="K795" s="842"/>
      <c r="L795" s="842"/>
      <c r="M795" s="843"/>
      <c r="N795" s="844">
        <f>F784</f>
        <v>2017</v>
      </c>
      <c r="O795" s="845"/>
      <c r="P795" s="845"/>
      <c r="Q795" s="845"/>
      <c r="R795" s="846"/>
      <c r="S795" s="847" t="s">
        <v>191</v>
      </c>
      <c r="T795" s="848"/>
      <c r="U795" s="849"/>
      <c r="V795" s="780"/>
      <c r="W795" s="781"/>
      <c r="X795" s="782"/>
      <c r="Y795" s="783"/>
      <c r="Z795" s="781"/>
      <c r="AA795" s="781"/>
      <c r="AB795" s="782"/>
      <c r="AC795" s="784" t="s">
        <v>438</v>
      </c>
      <c r="AD795" s="785"/>
      <c r="AE795" s="785"/>
      <c r="AF795" s="785"/>
    </row>
    <row r="796" spans="1:32" s="16" customFormat="1" ht="18" customHeight="1" x14ac:dyDescent="0.2">
      <c r="A796" s="657" t="s">
        <v>11</v>
      </c>
      <c r="B796" s="658"/>
      <c r="C796" s="658"/>
      <c r="D796" s="658"/>
      <c r="E796" s="658"/>
      <c r="F796" s="658"/>
      <c r="G796" s="658"/>
      <c r="H796" s="659"/>
      <c r="I796" s="829">
        <f>'[1]4.NERACA'!I62</f>
        <v>12290648383</v>
      </c>
      <c r="J796" s="830"/>
      <c r="K796" s="830"/>
      <c r="L796" s="830"/>
      <c r="M796" s="831"/>
      <c r="N796" s="832">
        <f>'[1]4.NERACA'!D62</f>
        <v>9398211335</v>
      </c>
      <c r="O796" s="833"/>
      <c r="P796" s="833"/>
      <c r="Q796" s="833"/>
      <c r="R796" s="834"/>
      <c r="S796" s="835">
        <f t="shared" ref="S796:S802" si="23">SUM(I796-N796)/N796*100</f>
        <v>30.776463147069677</v>
      </c>
      <c r="T796" s="836"/>
      <c r="U796" s="837"/>
      <c r="V796" s="810"/>
      <c r="W796" s="781"/>
      <c r="X796" s="782"/>
      <c r="Y796" s="783"/>
      <c r="Z796" s="781"/>
      <c r="AA796" s="781"/>
      <c r="AB796" s="782"/>
      <c r="AC796" s="471">
        <f t="shared" ref="AC796:AC802" si="24">I796-N796</f>
        <v>2892437048</v>
      </c>
      <c r="AD796" s="472"/>
      <c r="AE796" s="472"/>
      <c r="AF796" s="799"/>
    </row>
    <row r="797" spans="1:32" s="16" customFormat="1" ht="18" customHeight="1" x14ac:dyDescent="0.2">
      <c r="A797" s="657" t="s">
        <v>12</v>
      </c>
      <c r="B797" s="658"/>
      <c r="C797" s="658"/>
      <c r="D797" s="658"/>
      <c r="E797" s="658"/>
      <c r="F797" s="658"/>
      <c r="G797" s="658"/>
      <c r="H797" s="659"/>
      <c r="I797" s="829">
        <f>'[1]4.NERACA'!I76</f>
        <v>1865112315.0004001</v>
      </c>
      <c r="J797" s="830"/>
      <c r="K797" s="830"/>
      <c r="L797" s="830"/>
      <c r="M797" s="831"/>
      <c r="N797" s="832">
        <f>'[1]4.NERACA'!D76</f>
        <v>1594575563.0004001</v>
      </c>
      <c r="O797" s="833"/>
      <c r="P797" s="833"/>
      <c r="Q797" s="833"/>
      <c r="R797" s="834"/>
      <c r="S797" s="835">
        <f t="shared" si="23"/>
        <v>16.966066599625428</v>
      </c>
      <c r="T797" s="836"/>
      <c r="U797" s="837"/>
      <c r="V797" s="810"/>
      <c r="W797" s="781"/>
      <c r="X797" s="782"/>
      <c r="Y797" s="783"/>
      <c r="Z797" s="781"/>
      <c r="AA797" s="781"/>
      <c r="AB797" s="782"/>
      <c r="AC797" s="471">
        <f t="shared" si="24"/>
        <v>270536752</v>
      </c>
      <c r="AD797" s="472"/>
      <c r="AE797" s="472"/>
      <c r="AF797" s="799"/>
    </row>
    <row r="798" spans="1:32" s="16" customFormat="1" ht="18" customHeight="1" x14ac:dyDescent="0.2">
      <c r="A798" s="657" t="s">
        <v>13</v>
      </c>
      <c r="B798" s="658"/>
      <c r="C798" s="658"/>
      <c r="D798" s="658"/>
      <c r="E798" s="658"/>
      <c r="F798" s="658"/>
      <c r="G798" s="658"/>
      <c r="H798" s="659"/>
      <c r="I798" s="829">
        <f>'[1]4.NERACA'!I99</f>
        <v>25964686153</v>
      </c>
      <c r="J798" s="830"/>
      <c r="K798" s="830"/>
      <c r="L798" s="830"/>
      <c r="M798" s="831"/>
      <c r="N798" s="832">
        <f>'[1]4.NERACA'!D99</f>
        <v>14120832896</v>
      </c>
      <c r="O798" s="833"/>
      <c r="P798" s="833"/>
      <c r="Q798" s="833"/>
      <c r="R798" s="834"/>
      <c r="S798" s="835">
        <f t="shared" si="23"/>
        <v>83.875033039694145</v>
      </c>
      <c r="T798" s="836"/>
      <c r="U798" s="837"/>
      <c r="V798" s="810"/>
      <c r="W798" s="781"/>
      <c r="X798" s="782"/>
      <c r="Y798" s="783"/>
      <c r="Z798" s="781"/>
      <c r="AA798" s="781"/>
      <c r="AB798" s="782"/>
      <c r="AC798" s="471">
        <f t="shared" si="24"/>
        <v>11843853257</v>
      </c>
      <c r="AD798" s="472"/>
      <c r="AE798" s="472"/>
      <c r="AF798" s="799"/>
    </row>
    <row r="799" spans="1:32" s="16" customFormat="1" ht="18" customHeight="1" x14ac:dyDescent="0.2">
      <c r="A799" s="657" t="s">
        <v>439</v>
      </c>
      <c r="B799" s="658"/>
      <c r="C799" s="658"/>
      <c r="D799" s="658"/>
      <c r="E799" s="658"/>
      <c r="F799" s="658"/>
      <c r="G799" s="658"/>
      <c r="H799" s="659"/>
      <c r="I799" s="829">
        <f>'[1]4.NERACA'!I109</f>
        <v>2752875191</v>
      </c>
      <c r="J799" s="830"/>
      <c r="K799" s="830"/>
      <c r="L799" s="830"/>
      <c r="M799" s="831"/>
      <c r="N799" s="832">
        <f>'[1]4.NERACA'!D109</f>
        <v>2752875191</v>
      </c>
      <c r="O799" s="833"/>
      <c r="P799" s="833"/>
      <c r="Q799" s="833"/>
      <c r="R799" s="834"/>
      <c r="S799" s="835">
        <f t="shared" si="23"/>
        <v>0</v>
      </c>
      <c r="T799" s="836"/>
      <c r="U799" s="837"/>
      <c r="V799" s="810"/>
      <c r="W799" s="781"/>
      <c r="X799" s="782"/>
      <c r="Y799" s="783"/>
      <c r="Z799" s="781"/>
      <c r="AA799" s="781"/>
      <c r="AB799" s="782"/>
      <c r="AC799" s="471">
        <f t="shared" si="24"/>
        <v>0</v>
      </c>
      <c r="AD799" s="472"/>
      <c r="AE799" s="472"/>
      <c r="AF799" s="799"/>
    </row>
    <row r="800" spans="1:32" s="16" customFormat="1" ht="18" customHeight="1" x14ac:dyDescent="0.2">
      <c r="A800" s="657" t="s">
        <v>14</v>
      </c>
      <c r="B800" s="658"/>
      <c r="C800" s="658"/>
      <c r="D800" s="658"/>
      <c r="E800" s="658"/>
      <c r="F800" s="658"/>
      <c r="G800" s="658"/>
      <c r="H800" s="659"/>
      <c r="I800" s="829">
        <f>'[1]4.NERACA'!I121</f>
        <v>596236988</v>
      </c>
      <c r="J800" s="830"/>
      <c r="K800" s="830"/>
      <c r="L800" s="830"/>
      <c r="M800" s="831"/>
      <c r="N800" s="832">
        <f>'[1]4.NERACA'!D121</f>
        <v>516785240</v>
      </c>
      <c r="O800" s="833"/>
      <c r="P800" s="833"/>
      <c r="Q800" s="833"/>
      <c r="R800" s="834"/>
      <c r="S800" s="835">
        <f t="shared" si="23"/>
        <v>15.374229341379797</v>
      </c>
      <c r="T800" s="836"/>
      <c r="U800" s="837"/>
      <c r="V800" s="810"/>
      <c r="W800" s="781"/>
      <c r="X800" s="782"/>
      <c r="Y800" s="783"/>
      <c r="Z800" s="781"/>
      <c r="AA800" s="781"/>
      <c r="AB800" s="782"/>
      <c r="AC800" s="471">
        <f t="shared" si="24"/>
        <v>79451748</v>
      </c>
      <c r="AD800" s="472"/>
      <c r="AE800" s="472"/>
      <c r="AF800" s="799"/>
    </row>
    <row r="801" spans="1:32" s="16" customFormat="1" ht="18" customHeight="1" x14ac:dyDescent="0.2">
      <c r="A801" s="657" t="s">
        <v>440</v>
      </c>
      <c r="B801" s="658"/>
      <c r="C801" s="658"/>
      <c r="D801" s="658"/>
      <c r="E801" s="658"/>
      <c r="F801" s="658"/>
      <c r="G801" s="658"/>
      <c r="H801" s="659"/>
      <c r="I801" s="829">
        <f>'[1]4.NERACA'!I132</f>
        <v>-3634368439</v>
      </c>
      <c r="J801" s="830"/>
      <c r="K801" s="830"/>
      <c r="L801" s="830"/>
      <c r="M801" s="831"/>
      <c r="N801" s="832">
        <f>'[1]4.NERACA'!D132</f>
        <v>-3120268682</v>
      </c>
      <c r="O801" s="833"/>
      <c r="P801" s="833"/>
      <c r="Q801" s="833"/>
      <c r="R801" s="834"/>
      <c r="S801" s="835">
        <f t="shared" si="23"/>
        <v>16.476137454627057</v>
      </c>
      <c r="T801" s="836"/>
      <c r="U801" s="837"/>
      <c r="V801" s="810"/>
      <c r="W801" s="781"/>
      <c r="X801" s="782"/>
      <c r="Y801" s="783"/>
      <c r="Z801" s="781"/>
      <c r="AA801" s="781"/>
      <c r="AB801" s="782"/>
      <c r="AC801" s="471">
        <f t="shared" si="24"/>
        <v>-514099757</v>
      </c>
      <c r="AD801" s="472"/>
      <c r="AE801" s="472"/>
      <c r="AF801" s="799"/>
    </row>
    <row r="802" spans="1:32" s="16" customFormat="1" ht="19.5" customHeight="1" x14ac:dyDescent="0.2">
      <c r="A802" s="817" t="s">
        <v>205</v>
      </c>
      <c r="B802" s="818"/>
      <c r="C802" s="818"/>
      <c r="D802" s="818"/>
      <c r="E802" s="818"/>
      <c r="F802" s="818"/>
      <c r="G802" s="818"/>
      <c r="H802" s="819"/>
      <c r="I802" s="820">
        <f>SUM(I796:M801)</f>
        <v>39835190591.000397</v>
      </c>
      <c r="J802" s="821"/>
      <c r="K802" s="821"/>
      <c r="L802" s="821"/>
      <c r="M802" s="822"/>
      <c r="N802" s="823">
        <f>SUM(N796:S801)</f>
        <v>25263011706.46833</v>
      </c>
      <c r="O802" s="824"/>
      <c r="P802" s="824"/>
      <c r="Q802" s="824"/>
      <c r="R802" s="825"/>
      <c r="S802" s="826">
        <f t="shared" si="23"/>
        <v>57.681875200972222</v>
      </c>
      <c r="T802" s="827"/>
      <c r="U802" s="828"/>
      <c r="V802" s="810"/>
      <c r="W802" s="781"/>
      <c r="X802" s="782"/>
      <c r="Y802" s="783"/>
      <c r="Z802" s="781"/>
      <c r="AA802" s="781"/>
      <c r="AB802" s="782"/>
      <c r="AC802" s="471">
        <f t="shared" si="24"/>
        <v>14572178884.532066</v>
      </c>
      <c r="AD802" s="472"/>
      <c r="AE802" s="472"/>
      <c r="AF802" s="799"/>
    </row>
    <row r="803" spans="1:32" s="16" customFormat="1" ht="19.5" customHeight="1" x14ac:dyDescent="0.2">
      <c r="A803" s="160"/>
      <c r="B803" s="160"/>
      <c r="C803" s="160"/>
      <c r="D803" s="160"/>
      <c r="E803" s="160"/>
      <c r="F803" s="160"/>
      <c r="G803" s="160"/>
      <c r="H803" s="160"/>
      <c r="I803" s="187"/>
      <c r="J803" s="187"/>
      <c r="K803" s="187"/>
      <c r="L803" s="187"/>
      <c r="M803" s="187"/>
      <c r="N803" s="187"/>
      <c r="O803" s="187"/>
      <c r="P803" s="187"/>
      <c r="Q803" s="187"/>
      <c r="R803" s="187"/>
      <c r="S803" s="187"/>
      <c r="T803" s="149"/>
      <c r="U803" s="149"/>
      <c r="V803" s="23"/>
    </row>
    <row r="804" spans="1:32" s="16" customFormat="1" ht="30" customHeight="1" x14ac:dyDescent="0.2">
      <c r="A804" s="33"/>
      <c r="B804" s="407" t="s">
        <v>441</v>
      </c>
      <c r="C804" s="407"/>
      <c r="D804" s="407"/>
      <c r="E804" s="407"/>
      <c r="F804" s="407"/>
      <c r="G804" s="407"/>
      <c r="H804" s="407"/>
      <c r="I804" s="407"/>
      <c r="J804" s="407"/>
      <c r="K804" s="407"/>
      <c r="L804" s="407"/>
      <c r="M804" s="407"/>
      <c r="N804" s="407"/>
      <c r="O804" s="407"/>
      <c r="P804" s="407"/>
      <c r="Q804" s="407"/>
      <c r="R804" s="407"/>
      <c r="S804" s="407"/>
      <c r="T804" s="407"/>
      <c r="U804" s="407"/>
      <c r="V804" s="23"/>
    </row>
    <row r="805" spans="1:32" s="16" customFormat="1" ht="19.5" customHeight="1" x14ac:dyDescent="0.2">
      <c r="A805" s="33"/>
      <c r="B805" s="77"/>
      <c r="C805" s="77"/>
      <c r="D805" s="77"/>
      <c r="E805" s="77"/>
      <c r="F805" s="77"/>
      <c r="G805" s="77"/>
      <c r="H805" s="77"/>
      <c r="I805" s="77"/>
      <c r="J805" s="77"/>
      <c r="K805" s="77"/>
      <c r="L805" s="77"/>
      <c r="M805" s="77"/>
      <c r="N805" s="77"/>
      <c r="O805" s="77"/>
      <c r="P805" s="77"/>
      <c r="Q805" s="77"/>
      <c r="R805" s="77"/>
      <c r="S805" s="77"/>
      <c r="T805" s="77"/>
      <c r="U805" s="77"/>
      <c r="V805" s="23"/>
    </row>
    <row r="806" spans="1:32" s="16" customFormat="1" ht="19.5" customHeight="1" x14ac:dyDescent="0.2">
      <c r="A806" s="33"/>
      <c r="B806" s="188" t="s">
        <v>47</v>
      </c>
      <c r="C806" s="629" t="s">
        <v>11</v>
      </c>
      <c r="D806" s="629"/>
      <c r="E806" s="629"/>
      <c r="F806" s="629"/>
      <c r="G806" s="629"/>
      <c r="H806" s="629"/>
      <c r="I806" s="629"/>
      <c r="J806" s="629"/>
      <c r="K806" s="629"/>
      <c r="L806" s="629"/>
      <c r="M806" s="629"/>
      <c r="N806" s="629"/>
      <c r="O806" s="629"/>
      <c r="P806" s="629"/>
      <c r="Q806" s="629"/>
      <c r="R806" s="629"/>
      <c r="S806" s="629"/>
      <c r="T806" s="629"/>
      <c r="U806" s="629"/>
      <c r="V806" s="23"/>
    </row>
    <row r="807" spans="1:32" s="16" customFormat="1" ht="65.25" customHeight="1" x14ac:dyDescent="0.2">
      <c r="A807" s="33"/>
      <c r="C807" s="407" t="str">
        <f>"Saldo aset tetap berupa tanah yang dimiliki  "&amp;'[1]2.ISIAN DATA SKPD'!D2&amp;" per "&amp;'[1]2.ISIAN DATA SKPD'!D8&amp;" dan  "&amp;'[1]2.ISIAN DATA SKPD'!D12&amp;" adalah sebesar Rp. "&amp;FIXED(R813)&amp;" dan Rp. "&amp;FIXED(B813)&amp;" turun sebesar Rp. "&amp;FIXED(AC813)&amp;" atau "&amp;FIXED(Y813)&amp;"% dari tahun "&amp;'[1]2.ISIAN DATA SKPD'!D12&amp;"."</f>
        <v>Saldo aset tetap berupa tanah yang dimiliki  Dinas Pariwisata Dan Kebudayaan per 31 Desember 2018 dan  2017 adalah sebesar Rp. 12.290.648.383,00 dan Rp. 9.398.211.335,00 turun sebesar Rp. 2.892.437.048,00 atau 30,78% dari tahun 2017.</v>
      </c>
      <c r="D807" s="407"/>
      <c r="E807" s="407"/>
      <c r="F807" s="407"/>
      <c r="G807" s="407"/>
      <c r="H807" s="407"/>
      <c r="I807" s="407"/>
      <c r="J807" s="407"/>
      <c r="K807" s="407"/>
      <c r="L807" s="407"/>
      <c r="M807" s="407"/>
      <c r="N807" s="407"/>
      <c r="O807" s="407"/>
      <c r="P807" s="407"/>
      <c r="Q807" s="407"/>
      <c r="R807" s="407"/>
      <c r="S807" s="407"/>
      <c r="T807" s="407"/>
      <c r="U807" s="407"/>
      <c r="V807" s="23"/>
    </row>
    <row r="808" spans="1:32" s="16" customFormat="1" ht="19.5" customHeight="1" x14ac:dyDescent="0.2">
      <c r="A808" s="11"/>
      <c r="C808" s="407" t="s">
        <v>442</v>
      </c>
      <c r="D808" s="407"/>
      <c r="E808" s="407"/>
      <c r="F808" s="407"/>
      <c r="G808" s="407"/>
      <c r="H808" s="407"/>
      <c r="I808" s="407"/>
      <c r="J808" s="407"/>
      <c r="K808" s="407"/>
      <c r="L808" s="407"/>
      <c r="M808" s="407"/>
      <c r="N808" s="407"/>
      <c r="O808" s="407"/>
      <c r="P808" s="407"/>
      <c r="Q808" s="407"/>
      <c r="R808" s="407"/>
      <c r="S808" s="407"/>
      <c r="T808" s="407"/>
      <c r="U808" s="407"/>
      <c r="V808" s="23"/>
    </row>
    <row r="809" spans="1:32" s="16" customFormat="1" ht="19.5" customHeight="1" x14ac:dyDescent="0.2">
      <c r="A809" s="11"/>
      <c r="C809" s="77"/>
      <c r="D809" s="77"/>
      <c r="E809" s="77"/>
      <c r="F809" s="77"/>
      <c r="G809" s="77"/>
      <c r="H809" s="77"/>
      <c r="I809" s="77"/>
      <c r="J809" s="77"/>
      <c r="K809" s="77"/>
      <c r="L809" s="77"/>
      <c r="M809" s="77"/>
      <c r="N809" s="77"/>
      <c r="O809" s="77"/>
      <c r="P809" s="77"/>
      <c r="Q809" s="77"/>
      <c r="R809" s="77"/>
      <c r="S809" s="77"/>
      <c r="T809" s="77"/>
      <c r="U809" s="77"/>
      <c r="V809" s="23"/>
    </row>
    <row r="810" spans="1:32" s="16" customFormat="1" ht="14.25" customHeight="1" x14ac:dyDescent="0.2">
      <c r="A810" s="567" t="s">
        <v>125</v>
      </c>
      <c r="B810" s="600" t="s">
        <v>443</v>
      </c>
      <c r="C810" s="600"/>
      <c r="D810" s="600"/>
      <c r="E810" s="600"/>
      <c r="F810" s="605" t="s">
        <v>444</v>
      </c>
      <c r="G810" s="605"/>
      <c r="H810" s="605"/>
      <c r="I810" s="605"/>
      <c r="J810" s="605"/>
      <c r="K810" s="605"/>
      <c r="L810" s="605" t="s">
        <v>445</v>
      </c>
      <c r="M810" s="605"/>
      <c r="N810" s="605"/>
      <c r="O810" s="605"/>
      <c r="P810" s="605"/>
      <c r="Q810" s="605"/>
      <c r="R810" s="600" t="s">
        <v>446</v>
      </c>
      <c r="S810" s="600"/>
      <c r="T810" s="600"/>
      <c r="U810" s="600"/>
      <c r="V810" s="23"/>
    </row>
    <row r="811" spans="1:32" s="16" customFormat="1" ht="14.25" customHeight="1" x14ac:dyDescent="0.2">
      <c r="A811" s="568"/>
      <c r="B811" s="732">
        <f>F784</f>
        <v>2017</v>
      </c>
      <c r="C811" s="600"/>
      <c r="D811" s="600"/>
      <c r="E811" s="600"/>
      <c r="F811" s="602" t="s">
        <v>447</v>
      </c>
      <c r="G811" s="603"/>
      <c r="H811" s="604"/>
      <c r="I811" s="725" t="s">
        <v>448</v>
      </c>
      <c r="J811" s="726"/>
      <c r="K811" s="727"/>
      <c r="L811" s="602" t="s">
        <v>447</v>
      </c>
      <c r="M811" s="603"/>
      <c r="N811" s="604"/>
      <c r="O811" s="601" t="s">
        <v>448</v>
      </c>
      <c r="P811" s="601"/>
      <c r="Q811" s="601"/>
      <c r="R811" s="732">
        <f>R784</f>
        <v>2018</v>
      </c>
      <c r="S811" s="600"/>
      <c r="T811" s="600"/>
      <c r="U811" s="600"/>
      <c r="V811" s="780"/>
      <c r="W811" s="781"/>
      <c r="X811" s="782"/>
      <c r="Y811" s="783" t="s">
        <v>449</v>
      </c>
      <c r="Z811" s="781"/>
      <c r="AA811" s="781"/>
      <c r="AB811" s="782"/>
      <c r="AC811" s="784" t="s">
        <v>438</v>
      </c>
      <c r="AD811" s="785"/>
      <c r="AE811" s="785"/>
      <c r="AF811" s="785"/>
    </row>
    <row r="812" spans="1:32" s="16" customFormat="1" ht="26.25" customHeight="1" x14ac:dyDescent="0.2">
      <c r="A812" s="189" t="s">
        <v>11</v>
      </c>
      <c r="B812" s="811">
        <f>'[1]4.NERACA'!D62</f>
        <v>9398211335</v>
      </c>
      <c r="C812" s="812"/>
      <c r="D812" s="812"/>
      <c r="E812" s="812"/>
      <c r="F812" s="811">
        <f>'[1]4.NERACA'!E62</f>
        <v>0</v>
      </c>
      <c r="G812" s="812"/>
      <c r="H812" s="813"/>
      <c r="I812" s="814">
        <f>'[1]4.NERACA'!F62</f>
        <v>0</v>
      </c>
      <c r="J812" s="815"/>
      <c r="K812" s="816"/>
      <c r="L812" s="773">
        <f>'[1]4.NERACA'!G62</f>
        <v>2892437048</v>
      </c>
      <c r="M812" s="774"/>
      <c r="N812" s="775"/>
      <c r="O812" s="811">
        <f>'[1]4.NERACA'!H62</f>
        <v>0</v>
      </c>
      <c r="P812" s="812"/>
      <c r="Q812" s="813"/>
      <c r="R812" s="793">
        <f>'[1]4.NERACA'!I62</f>
        <v>12290648383</v>
      </c>
      <c r="S812" s="793"/>
      <c r="T812" s="793"/>
      <c r="U812" s="793"/>
      <c r="V812" s="810"/>
      <c r="W812" s="781"/>
      <c r="X812" s="782"/>
      <c r="Y812" s="783">
        <f>(R812-B812)/B812*100</f>
        <v>30.776463147069677</v>
      </c>
      <c r="Z812" s="781"/>
      <c r="AA812" s="781"/>
      <c r="AB812" s="782"/>
      <c r="AC812" s="471">
        <f>R812-B812</f>
        <v>2892437048</v>
      </c>
      <c r="AD812" s="472"/>
      <c r="AE812" s="472"/>
      <c r="AF812" s="799"/>
    </row>
    <row r="813" spans="1:32" s="16" customFormat="1" ht="19.5" customHeight="1" x14ac:dyDescent="0.2">
      <c r="A813" s="190" t="s">
        <v>205</v>
      </c>
      <c r="B813" s="800">
        <f>B812</f>
        <v>9398211335</v>
      </c>
      <c r="C813" s="801"/>
      <c r="D813" s="801"/>
      <c r="E813" s="801"/>
      <c r="F813" s="800">
        <f>F812</f>
        <v>0</v>
      </c>
      <c r="G813" s="801"/>
      <c r="H813" s="802"/>
      <c r="I813" s="803">
        <f>I812</f>
        <v>0</v>
      </c>
      <c r="J813" s="804"/>
      <c r="K813" s="805"/>
      <c r="L813" s="806">
        <f>L812</f>
        <v>2892437048</v>
      </c>
      <c r="M813" s="807"/>
      <c r="N813" s="808"/>
      <c r="O813" s="800">
        <f>O812</f>
        <v>0</v>
      </c>
      <c r="P813" s="801"/>
      <c r="Q813" s="802"/>
      <c r="R813" s="809">
        <f>R812</f>
        <v>12290648383</v>
      </c>
      <c r="S813" s="809"/>
      <c r="T813" s="809"/>
      <c r="U813" s="809"/>
      <c r="V813" s="810"/>
      <c r="W813" s="781"/>
      <c r="X813" s="782"/>
      <c r="Y813" s="783">
        <f>(R813-B813)/B813*100</f>
        <v>30.776463147069677</v>
      </c>
      <c r="Z813" s="781"/>
      <c r="AA813" s="781"/>
      <c r="AB813" s="782"/>
      <c r="AC813" s="471">
        <f>R813-B813</f>
        <v>2892437048</v>
      </c>
      <c r="AD813" s="472"/>
      <c r="AE813" s="472"/>
      <c r="AF813" s="799"/>
    </row>
    <row r="814" spans="1:32" s="16" customFormat="1" ht="19.5" customHeight="1" x14ac:dyDescent="0.2">
      <c r="A814" s="11"/>
      <c r="C814" s="407" t="s">
        <v>450</v>
      </c>
      <c r="D814" s="407"/>
      <c r="E814" s="407"/>
      <c r="F814" s="407"/>
      <c r="G814" s="407"/>
      <c r="H814" s="407"/>
      <c r="I814" s="407"/>
      <c r="J814" s="407"/>
      <c r="K814" s="407"/>
      <c r="L814" s="407"/>
      <c r="M814" s="407"/>
      <c r="N814" s="407"/>
      <c r="O814" s="407"/>
      <c r="P814" s="407"/>
      <c r="Q814" s="407"/>
      <c r="R814" s="407"/>
      <c r="S814" s="407"/>
      <c r="T814" s="407"/>
      <c r="U814" s="191"/>
      <c r="V814" s="23"/>
    </row>
    <row r="815" spans="1:32" s="16" customFormat="1" ht="19.5" customHeight="1" x14ac:dyDescent="0.2">
      <c r="A815" s="11"/>
      <c r="C815" s="798" t="s">
        <v>451</v>
      </c>
      <c r="D815" s="798"/>
      <c r="E815" s="798"/>
      <c r="F815" s="798"/>
      <c r="G815" s="798"/>
      <c r="H815" s="798"/>
      <c r="I815" s="798"/>
      <c r="J815" s="798"/>
      <c r="K815" s="798"/>
      <c r="L815" s="798"/>
      <c r="M815" s="798"/>
      <c r="N815" s="798"/>
      <c r="O815" s="798"/>
      <c r="P815" s="798"/>
      <c r="Q815" s="798"/>
      <c r="R815" s="798"/>
      <c r="S815" s="798"/>
      <c r="T815" s="798"/>
      <c r="U815" s="798"/>
      <c r="V815" s="23"/>
    </row>
    <row r="816" spans="1:32" s="16" customFormat="1" ht="19.5" customHeight="1" x14ac:dyDescent="0.2">
      <c r="A816" s="11"/>
      <c r="C816" s="402" t="str">
        <f>"    Mutasi/Koreksi debet sebesar Rp. "&amp;FIXED(F812+L812)&amp;" berasal dari :"</f>
        <v xml:space="preserve">    Mutasi/Koreksi debet sebesar Rp. 2.892.437.048,00 berasal dari :</v>
      </c>
      <c r="D816" s="402"/>
      <c r="E816" s="402"/>
      <c r="F816" s="402"/>
      <c r="G816" s="402"/>
      <c r="H816" s="402"/>
      <c r="I816" s="402"/>
      <c r="J816" s="402"/>
      <c r="K816" s="402"/>
      <c r="L816" s="402"/>
      <c r="M816" s="402"/>
      <c r="N816" s="402"/>
      <c r="O816" s="402"/>
      <c r="P816" s="402"/>
      <c r="Q816" s="402"/>
      <c r="R816" s="402"/>
      <c r="S816" s="402"/>
      <c r="T816" s="402"/>
      <c r="U816" s="402"/>
      <c r="V816" s="23"/>
    </row>
    <row r="817" spans="1:27" s="16" customFormat="1" ht="29.25" customHeight="1" x14ac:dyDescent="0.2">
      <c r="A817" s="11"/>
      <c r="C817" s="402" t="s">
        <v>452</v>
      </c>
      <c r="D817" s="402"/>
      <c r="E817" s="402"/>
      <c r="F817" s="402"/>
      <c r="G817" s="402"/>
      <c r="H817" s="402"/>
      <c r="I817" s="402"/>
      <c r="J817" s="402"/>
      <c r="K817" s="402"/>
      <c r="L817" s="402"/>
      <c r="M817" s="402"/>
      <c r="N817" s="402"/>
      <c r="O817" s="402"/>
      <c r="P817" s="402"/>
      <c r="Q817" s="402"/>
      <c r="R817" s="402"/>
      <c r="S817" s="402"/>
      <c r="T817" s="402"/>
      <c r="U817" s="402"/>
      <c r="V817" s="23"/>
    </row>
    <row r="818" spans="1:27" s="16" customFormat="1" ht="30.75" customHeight="1" x14ac:dyDescent="0.2">
      <c r="A818" s="11"/>
      <c r="C818" s="402" t="s">
        <v>453</v>
      </c>
      <c r="D818" s="402"/>
      <c r="E818" s="402"/>
      <c r="F818" s="402"/>
      <c r="G818" s="402"/>
      <c r="H818" s="402"/>
      <c r="I818" s="402"/>
      <c r="J818" s="402"/>
      <c r="K818" s="402"/>
      <c r="L818" s="402"/>
      <c r="M818" s="402"/>
      <c r="N818" s="402"/>
      <c r="O818" s="402"/>
      <c r="P818" s="402"/>
      <c r="Q818" s="402"/>
      <c r="R818" s="402"/>
      <c r="S818" s="402"/>
      <c r="T818" s="402"/>
      <c r="U818" s="402"/>
      <c r="V818" s="23"/>
    </row>
    <row r="819" spans="1:27" s="16" customFormat="1" ht="19.5" customHeight="1" x14ac:dyDescent="0.2">
      <c r="A819" s="11"/>
      <c r="C819" s="798" t="s">
        <v>454</v>
      </c>
      <c r="D819" s="798"/>
      <c r="E819" s="798"/>
      <c r="F819" s="798"/>
      <c r="G819" s="798"/>
      <c r="H819" s="798"/>
      <c r="I819" s="798"/>
      <c r="J819" s="798"/>
      <c r="K819" s="798"/>
      <c r="L819" s="798"/>
      <c r="M819" s="798"/>
      <c r="N819" s="798"/>
      <c r="O819" s="798"/>
      <c r="P819" s="798"/>
      <c r="Q819" s="798"/>
      <c r="R819" s="798"/>
      <c r="S819" s="798"/>
      <c r="T819" s="798"/>
      <c r="U819" s="798"/>
      <c r="V819" s="23"/>
    </row>
    <row r="820" spans="1:27" s="16" customFormat="1" ht="19.5" customHeight="1" x14ac:dyDescent="0.2">
      <c r="A820" s="11"/>
      <c r="C820" s="402" t="str">
        <f>"    Mutasi/Koreksi kredit sebesar Rp. "&amp;FIXED(I813+O813)&amp;" . "</f>
        <v xml:space="preserve">    Mutasi/Koreksi kredit sebesar Rp. 0,00 . </v>
      </c>
      <c r="D820" s="402"/>
      <c r="E820" s="402"/>
      <c r="F820" s="402"/>
      <c r="G820" s="402"/>
      <c r="H820" s="402"/>
      <c r="I820" s="402"/>
      <c r="J820" s="402"/>
      <c r="K820" s="402"/>
      <c r="L820" s="402"/>
      <c r="M820" s="402"/>
      <c r="N820" s="402"/>
      <c r="O820" s="402"/>
      <c r="P820" s="402"/>
      <c r="Q820" s="402"/>
      <c r="R820" s="402"/>
      <c r="S820" s="402"/>
      <c r="T820" s="402"/>
      <c r="U820" s="402"/>
      <c r="V820" s="23"/>
    </row>
    <row r="821" spans="1:27" s="16" customFormat="1" ht="12.75" customHeight="1" x14ac:dyDescent="0.2">
      <c r="A821" s="11"/>
      <c r="C821" s="794"/>
      <c r="D821" s="794"/>
      <c r="E821" s="794"/>
      <c r="F821" s="794"/>
      <c r="G821" s="794"/>
      <c r="H821" s="794"/>
      <c r="I821" s="794"/>
      <c r="J821" s="794"/>
      <c r="K821" s="794"/>
      <c r="L821" s="794"/>
      <c r="M821" s="794"/>
      <c r="N821" s="794"/>
      <c r="O821" s="794"/>
      <c r="P821" s="794"/>
      <c r="Q821" s="794"/>
      <c r="R821" s="794"/>
      <c r="S821" s="794"/>
      <c r="T821" s="794"/>
      <c r="U821" s="794"/>
      <c r="V821" s="23"/>
    </row>
    <row r="822" spans="1:27" s="16" customFormat="1" ht="19.5" customHeight="1" x14ac:dyDescent="0.2">
      <c r="A822" s="11"/>
      <c r="C822" s="407" t="str">
        <f>"Rincian saldo Tanah per "&amp;'[1]2.ISIAN DATA SKPD'!D8&amp;" adalah sebagai berikut:"</f>
        <v>Rincian saldo Tanah per 31 Desember 2018 adalah sebagai berikut:</v>
      </c>
      <c r="D822" s="407"/>
      <c r="E822" s="407"/>
      <c r="F822" s="407"/>
      <c r="G822" s="407"/>
      <c r="H822" s="407"/>
      <c r="I822" s="407"/>
      <c r="J822" s="407"/>
      <c r="K822" s="407"/>
      <c r="L822" s="407"/>
      <c r="M822" s="407"/>
      <c r="N822" s="407"/>
      <c r="O822" s="407"/>
      <c r="P822" s="407"/>
      <c r="Q822" s="407"/>
      <c r="R822" s="407"/>
      <c r="S822" s="407"/>
      <c r="T822" s="407"/>
      <c r="U822" s="407"/>
      <c r="V822" s="23"/>
    </row>
    <row r="823" spans="1:27" s="16" customFormat="1" ht="19.5" customHeight="1" x14ac:dyDescent="0.2">
      <c r="A823" s="11"/>
      <c r="B823" s="192" t="s">
        <v>209</v>
      </c>
      <c r="C823" s="453" t="s">
        <v>329</v>
      </c>
      <c r="D823" s="454"/>
      <c r="E823" s="454"/>
      <c r="F823" s="454"/>
      <c r="G823" s="454"/>
      <c r="H823" s="454"/>
      <c r="I823" s="454"/>
      <c r="J823" s="454"/>
      <c r="K823" s="454"/>
      <c r="L823" s="454"/>
      <c r="M823" s="454"/>
      <c r="N823" s="454"/>
      <c r="O823" s="455"/>
      <c r="P823" s="453" t="s">
        <v>455</v>
      </c>
      <c r="Q823" s="454"/>
      <c r="R823" s="454"/>
      <c r="S823" s="454"/>
      <c r="T823" s="454"/>
      <c r="U823" s="455"/>
      <c r="V823" s="23"/>
    </row>
    <row r="824" spans="1:27" s="16" customFormat="1" ht="20.25" customHeight="1" x14ac:dyDescent="0.2">
      <c r="A824" s="11"/>
      <c r="B824" s="193">
        <v>1</v>
      </c>
      <c r="C824" s="630" t="str">
        <f>'[1]4.NERACA'!C63</f>
        <v>Tanah Perkampungan</v>
      </c>
      <c r="D824" s="631"/>
      <c r="E824" s="631"/>
      <c r="F824" s="631"/>
      <c r="G824" s="631"/>
      <c r="H824" s="631"/>
      <c r="I824" s="631"/>
      <c r="J824" s="631"/>
      <c r="K824" s="631"/>
      <c r="L824" s="631"/>
      <c r="M824" s="631"/>
      <c r="N824" s="631"/>
      <c r="O824" s="632"/>
      <c r="P824" s="795">
        <f>'[1]4.NERACA'!I63</f>
        <v>0</v>
      </c>
      <c r="Q824" s="796"/>
      <c r="R824" s="796"/>
      <c r="S824" s="796"/>
      <c r="T824" s="796"/>
      <c r="U824" s="797"/>
      <c r="V824" s="194"/>
      <c r="W824" s="195"/>
      <c r="X824" s="195"/>
      <c r="Y824" s="195"/>
      <c r="Z824" s="195"/>
      <c r="AA824" s="196"/>
    </row>
    <row r="825" spans="1:27" s="16" customFormat="1" ht="19.5" customHeight="1" x14ac:dyDescent="0.2">
      <c r="A825" s="11"/>
      <c r="B825" s="193">
        <v>2</v>
      </c>
      <c r="C825" s="630" t="str">
        <f>'[1]4.NERACA'!C64</f>
        <v>Tanah Pertanian</v>
      </c>
      <c r="D825" s="631"/>
      <c r="E825" s="631"/>
      <c r="F825" s="631"/>
      <c r="G825" s="631"/>
      <c r="H825" s="631"/>
      <c r="I825" s="631"/>
      <c r="J825" s="631"/>
      <c r="K825" s="631"/>
      <c r="L825" s="631"/>
      <c r="M825" s="631"/>
      <c r="N825" s="631"/>
      <c r="O825" s="632"/>
      <c r="P825" s="734">
        <f>'[1]4.NERACA'!I64</f>
        <v>0</v>
      </c>
      <c r="Q825" s="735"/>
      <c r="R825" s="735"/>
      <c r="S825" s="735"/>
      <c r="T825" s="735"/>
      <c r="U825" s="736"/>
      <c r="V825" s="23"/>
    </row>
    <row r="826" spans="1:27" s="16" customFormat="1" ht="20.25" customHeight="1" x14ac:dyDescent="0.2">
      <c r="A826" s="11"/>
      <c r="B826" s="193">
        <v>3</v>
      </c>
      <c r="C826" s="630" t="str">
        <f>'[1]4.NERACA'!C65</f>
        <v>Tanah Perkebunan</v>
      </c>
      <c r="D826" s="631"/>
      <c r="E826" s="631"/>
      <c r="F826" s="631"/>
      <c r="G826" s="631"/>
      <c r="H826" s="631"/>
      <c r="I826" s="631"/>
      <c r="J826" s="631"/>
      <c r="K826" s="631"/>
      <c r="L826" s="631"/>
      <c r="M826" s="631"/>
      <c r="N826" s="631"/>
      <c r="O826" s="632"/>
      <c r="P826" s="734">
        <f>'[1]4.NERACA'!I65</f>
        <v>0</v>
      </c>
      <c r="Q826" s="735"/>
      <c r="R826" s="735"/>
      <c r="S826" s="735"/>
      <c r="T826" s="735"/>
      <c r="U826" s="736"/>
      <c r="V826" s="23"/>
    </row>
    <row r="827" spans="1:27" s="16" customFormat="1" ht="20.25" customHeight="1" x14ac:dyDescent="0.2">
      <c r="A827" s="11"/>
      <c r="B827" s="193">
        <v>4</v>
      </c>
      <c r="C827" s="630" t="str">
        <f>'[1]4.NERACA'!C66</f>
        <v>Kebun Campuran</v>
      </c>
      <c r="D827" s="631"/>
      <c r="E827" s="631"/>
      <c r="F827" s="631"/>
      <c r="G827" s="631"/>
      <c r="H827" s="631"/>
      <c r="I827" s="631"/>
      <c r="J827" s="631"/>
      <c r="K827" s="631"/>
      <c r="L827" s="631"/>
      <c r="M827" s="631"/>
      <c r="N827" s="631"/>
      <c r="O827" s="632"/>
      <c r="P827" s="734">
        <f>'[1]4.NERACA'!I66</f>
        <v>0</v>
      </c>
      <c r="Q827" s="735"/>
      <c r="R827" s="735"/>
      <c r="S827" s="735"/>
      <c r="T827" s="735"/>
      <c r="U827" s="736"/>
      <c r="V827" s="23"/>
    </row>
    <row r="828" spans="1:27" s="16" customFormat="1" ht="20.25" customHeight="1" x14ac:dyDescent="0.2">
      <c r="A828" s="11"/>
      <c r="B828" s="193">
        <v>5</v>
      </c>
      <c r="C828" s="630" t="str">
        <f>'[1]4.NERACA'!C67</f>
        <v>Hutan</v>
      </c>
      <c r="D828" s="631"/>
      <c r="E828" s="631"/>
      <c r="F828" s="631"/>
      <c r="G828" s="631"/>
      <c r="H828" s="631"/>
      <c r="I828" s="631"/>
      <c r="J828" s="631"/>
      <c r="K828" s="631"/>
      <c r="L828" s="631"/>
      <c r="M828" s="631"/>
      <c r="N828" s="631"/>
      <c r="O828" s="632"/>
      <c r="P828" s="734">
        <f>'[1]4.NERACA'!I67</f>
        <v>0</v>
      </c>
      <c r="Q828" s="735"/>
      <c r="R828" s="735"/>
      <c r="S828" s="735"/>
      <c r="T828" s="735"/>
      <c r="U828" s="736"/>
      <c r="V828" s="23"/>
    </row>
    <row r="829" spans="1:27" s="16" customFormat="1" ht="20.25" customHeight="1" x14ac:dyDescent="0.2">
      <c r="A829" s="11"/>
      <c r="B829" s="193">
        <v>6</v>
      </c>
      <c r="C829" s="630" t="str">
        <f>'[1]4.NERACA'!C68</f>
        <v>Kolam ilan</v>
      </c>
      <c r="D829" s="631"/>
      <c r="E829" s="631"/>
      <c r="F829" s="631"/>
      <c r="G829" s="631"/>
      <c r="H829" s="631"/>
      <c r="I829" s="631"/>
      <c r="J829" s="631"/>
      <c r="K829" s="631"/>
      <c r="L829" s="631"/>
      <c r="M829" s="631"/>
      <c r="N829" s="631"/>
      <c r="O829" s="632"/>
      <c r="P829" s="734">
        <f>'[1]4.NERACA'!I68</f>
        <v>0</v>
      </c>
      <c r="Q829" s="735"/>
      <c r="R829" s="735"/>
      <c r="S829" s="735"/>
      <c r="T829" s="735"/>
      <c r="U829" s="736"/>
      <c r="V829" s="23"/>
    </row>
    <row r="830" spans="1:27" s="16" customFormat="1" ht="20.25" customHeight="1" x14ac:dyDescent="0.2">
      <c r="A830" s="11"/>
      <c r="B830" s="193">
        <v>7</v>
      </c>
      <c r="C830" s="630" t="str">
        <f>'[1]4.NERACA'!C69</f>
        <v>Danau/Rawa</v>
      </c>
      <c r="D830" s="631"/>
      <c r="E830" s="631"/>
      <c r="F830" s="631"/>
      <c r="G830" s="631"/>
      <c r="H830" s="631"/>
      <c r="I830" s="631"/>
      <c r="J830" s="631"/>
      <c r="K830" s="631"/>
      <c r="L830" s="631"/>
      <c r="M830" s="631"/>
      <c r="N830" s="631"/>
      <c r="O830" s="632"/>
      <c r="P830" s="734">
        <f>'[1]4.NERACA'!I69</f>
        <v>0</v>
      </c>
      <c r="Q830" s="735"/>
      <c r="R830" s="735"/>
      <c r="S830" s="735"/>
      <c r="T830" s="735"/>
      <c r="U830" s="736"/>
      <c r="V830" s="23"/>
    </row>
    <row r="831" spans="1:27" s="16" customFormat="1" ht="18.75" customHeight="1" x14ac:dyDescent="0.2">
      <c r="A831" s="11"/>
      <c r="B831" s="193">
        <v>8</v>
      </c>
      <c r="C831" s="630" t="str">
        <f>'[1]4.NERACA'!C70</f>
        <v>Tanah Tandus/Rusak</v>
      </c>
      <c r="D831" s="631"/>
      <c r="E831" s="631"/>
      <c r="F831" s="631"/>
      <c r="G831" s="631"/>
      <c r="H831" s="631"/>
      <c r="I831" s="631"/>
      <c r="J831" s="631"/>
      <c r="K831" s="631"/>
      <c r="L831" s="631"/>
      <c r="M831" s="631"/>
      <c r="N831" s="631"/>
      <c r="O831" s="632"/>
      <c r="P831" s="734">
        <f>'[1]4.NERACA'!I70</f>
        <v>0</v>
      </c>
      <c r="Q831" s="735"/>
      <c r="R831" s="735"/>
      <c r="S831" s="735"/>
      <c r="T831" s="735"/>
      <c r="U831" s="736"/>
      <c r="V831" s="23"/>
    </row>
    <row r="832" spans="1:27" s="16" customFormat="1" ht="20.25" customHeight="1" x14ac:dyDescent="0.2">
      <c r="A832" s="11"/>
      <c r="B832" s="193">
        <v>9</v>
      </c>
      <c r="C832" s="630" t="str">
        <f>'[1]4.NERACA'!C71</f>
        <v>Alang-alang dan Padang Rumput</v>
      </c>
      <c r="D832" s="631"/>
      <c r="E832" s="631"/>
      <c r="F832" s="631"/>
      <c r="G832" s="631"/>
      <c r="H832" s="631"/>
      <c r="I832" s="631"/>
      <c r="J832" s="631"/>
      <c r="K832" s="631"/>
      <c r="L832" s="631"/>
      <c r="M832" s="631"/>
      <c r="N832" s="631"/>
      <c r="O832" s="632"/>
      <c r="P832" s="734">
        <f>'[1]4.NERACA'!I71</f>
        <v>0</v>
      </c>
      <c r="Q832" s="735"/>
      <c r="R832" s="735"/>
      <c r="S832" s="735"/>
      <c r="T832" s="735"/>
      <c r="U832" s="736"/>
      <c r="V832" s="23"/>
    </row>
    <row r="833" spans="1:32" s="16" customFormat="1" ht="17.25" customHeight="1" x14ac:dyDescent="0.2">
      <c r="A833" s="11"/>
      <c r="B833" s="193">
        <v>10</v>
      </c>
      <c r="C833" s="630" t="str">
        <f>'[1]4.NERACA'!C72</f>
        <v>Tanah Pengguna Lain</v>
      </c>
      <c r="D833" s="631"/>
      <c r="E833" s="631"/>
      <c r="F833" s="631"/>
      <c r="G833" s="631"/>
      <c r="H833" s="631"/>
      <c r="I833" s="631"/>
      <c r="J833" s="631"/>
      <c r="K833" s="631"/>
      <c r="L833" s="631"/>
      <c r="M833" s="631"/>
      <c r="N833" s="631"/>
      <c r="O833" s="632"/>
      <c r="P833" s="734">
        <f>'[1]4.NERACA'!I72</f>
        <v>0</v>
      </c>
      <c r="Q833" s="735"/>
      <c r="R833" s="735"/>
      <c r="S833" s="735"/>
      <c r="T833" s="735"/>
      <c r="U833" s="736"/>
      <c r="V833" s="23"/>
    </row>
    <row r="834" spans="1:32" s="16" customFormat="1" ht="19.5" customHeight="1" x14ac:dyDescent="0.2">
      <c r="A834" s="33"/>
      <c r="B834" s="193">
        <v>11</v>
      </c>
      <c r="C834" s="630" t="str">
        <f>'[1]4.NERACA'!C73</f>
        <v>Tanah Untuk Bangunan Gedung</v>
      </c>
      <c r="D834" s="631"/>
      <c r="E834" s="631"/>
      <c r="F834" s="631"/>
      <c r="G834" s="631"/>
      <c r="H834" s="631"/>
      <c r="I834" s="631"/>
      <c r="J834" s="631"/>
      <c r="K834" s="631"/>
      <c r="L834" s="631"/>
      <c r="M834" s="631"/>
      <c r="N834" s="631"/>
      <c r="O834" s="632"/>
      <c r="P834" s="734">
        <f>'[1]4.NERACA'!I73</f>
        <v>11385722913</v>
      </c>
      <c r="Q834" s="735"/>
      <c r="R834" s="735"/>
      <c r="S834" s="735"/>
      <c r="T834" s="735"/>
      <c r="U834" s="736"/>
      <c r="V834" s="23"/>
    </row>
    <row r="835" spans="1:32" s="16" customFormat="1" ht="16.5" customHeight="1" x14ac:dyDescent="0.2">
      <c r="A835" s="33"/>
      <c r="B835" s="193">
        <v>12</v>
      </c>
      <c r="C835" s="630" t="str">
        <f>'[1]4.NERACA'!C74</f>
        <v>Tanah Pertambangan</v>
      </c>
      <c r="D835" s="631"/>
      <c r="E835" s="631"/>
      <c r="F835" s="631"/>
      <c r="G835" s="631"/>
      <c r="H835" s="631"/>
      <c r="I835" s="631"/>
      <c r="J835" s="631"/>
      <c r="K835" s="631"/>
      <c r="L835" s="631"/>
      <c r="M835" s="631"/>
      <c r="N835" s="631"/>
      <c r="O835" s="632"/>
      <c r="P835" s="734">
        <f>'[1]4.NERACA'!I74</f>
        <v>0</v>
      </c>
      <c r="Q835" s="735"/>
      <c r="R835" s="735"/>
      <c r="S835" s="735"/>
      <c r="T835" s="735"/>
      <c r="U835" s="736"/>
      <c r="V835" s="23"/>
    </row>
    <row r="836" spans="1:32" s="16" customFormat="1" ht="19.5" customHeight="1" x14ac:dyDescent="0.2">
      <c r="A836" s="33"/>
      <c r="B836" s="193">
        <v>13</v>
      </c>
      <c r="C836" s="630" t="str">
        <f>'[1]4.NERACA'!C75</f>
        <v>Tanah Untuk Bangunan Bukan Gedung</v>
      </c>
      <c r="D836" s="631"/>
      <c r="E836" s="631"/>
      <c r="F836" s="631"/>
      <c r="G836" s="631"/>
      <c r="H836" s="631"/>
      <c r="I836" s="631"/>
      <c r="J836" s="631"/>
      <c r="K836" s="631"/>
      <c r="L836" s="631"/>
      <c r="M836" s="631"/>
      <c r="N836" s="631"/>
      <c r="O836" s="632"/>
      <c r="P836" s="734">
        <f>'[1]4.NERACA'!I75</f>
        <v>904925470</v>
      </c>
      <c r="Q836" s="735"/>
      <c r="R836" s="735"/>
      <c r="S836" s="735"/>
      <c r="T836" s="735"/>
      <c r="U836" s="736"/>
      <c r="V836" s="23"/>
    </row>
    <row r="837" spans="1:32" s="16" customFormat="1" ht="25.5" customHeight="1" x14ac:dyDescent="0.2">
      <c r="A837" s="33"/>
      <c r="B837" s="481" t="s">
        <v>205</v>
      </c>
      <c r="C837" s="482"/>
      <c r="D837" s="482"/>
      <c r="E837" s="482"/>
      <c r="F837" s="482"/>
      <c r="G837" s="482"/>
      <c r="H837" s="482"/>
      <c r="I837" s="482"/>
      <c r="J837" s="482"/>
      <c r="K837" s="482"/>
      <c r="L837" s="482"/>
      <c r="M837" s="482"/>
      <c r="N837" s="482"/>
      <c r="O837" s="483"/>
      <c r="P837" s="740">
        <f>SUM(P824:U836)</f>
        <v>12290648383</v>
      </c>
      <c r="Q837" s="741"/>
      <c r="R837" s="741"/>
      <c r="S837" s="741"/>
      <c r="T837" s="741"/>
      <c r="U837" s="742"/>
      <c r="V837" s="23"/>
    </row>
    <row r="838" spans="1:32" s="16" customFormat="1" ht="25.5" customHeight="1" x14ac:dyDescent="0.2">
      <c r="A838" s="33"/>
      <c r="B838" s="197"/>
      <c r="C838" s="197"/>
      <c r="D838" s="197"/>
      <c r="E838" s="197"/>
      <c r="F838" s="197"/>
      <c r="G838" s="197"/>
      <c r="H838" s="197"/>
      <c r="I838" s="197"/>
      <c r="J838" s="197"/>
      <c r="K838" s="197"/>
      <c r="L838" s="197"/>
      <c r="M838" s="197"/>
      <c r="N838" s="197"/>
      <c r="O838" s="197"/>
      <c r="P838" s="198"/>
      <c r="Q838" s="198"/>
      <c r="R838" s="198"/>
      <c r="S838" s="198"/>
      <c r="T838" s="198"/>
      <c r="U838" s="198"/>
      <c r="V838" s="23"/>
    </row>
    <row r="839" spans="1:32" s="16" customFormat="1" ht="16.5" customHeight="1" x14ac:dyDescent="0.2">
      <c r="A839" s="33"/>
      <c r="B839" s="199"/>
      <c r="C839" s="199"/>
      <c r="D839" s="199"/>
      <c r="E839" s="199"/>
      <c r="F839" s="199"/>
      <c r="G839" s="199"/>
      <c r="H839" s="199"/>
      <c r="I839" s="199"/>
      <c r="J839" s="199"/>
      <c r="K839" s="199"/>
      <c r="L839" s="199"/>
      <c r="M839" s="199"/>
      <c r="N839" s="199"/>
      <c r="O839" s="199"/>
      <c r="P839" s="199"/>
      <c r="Q839" s="199"/>
      <c r="R839" s="199"/>
      <c r="S839" s="199"/>
      <c r="T839" s="199"/>
      <c r="U839" s="199"/>
      <c r="V839" s="23"/>
    </row>
    <row r="840" spans="1:32" s="16" customFormat="1" ht="17.25" customHeight="1" x14ac:dyDescent="0.2">
      <c r="A840" s="33"/>
      <c r="B840" s="188" t="s">
        <v>49</v>
      </c>
      <c r="C840" s="411" t="s">
        <v>12</v>
      </c>
      <c r="D840" s="411"/>
      <c r="E840" s="411"/>
      <c r="F840" s="411"/>
      <c r="G840" s="411"/>
      <c r="H840" s="411"/>
      <c r="I840" s="411"/>
      <c r="J840" s="411"/>
      <c r="K840" s="411"/>
      <c r="L840" s="411"/>
      <c r="M840" s="411"/>
      <c r="N840" s="411"/>
      <c r="O840" s="411"/>
      <c r="P840" s="411"/>
      <c r="Q840" s="411"/>
      <c r="R840" s="411"/>
      <c r="S840" s="411"/>
      <c r="T840" s="411"/>
      <c r="U840" s="411"/>
      <c r="V840" s="23"/>
    </row>
    <row r="841" spans="1:32" s="16" customFormat="1" ht="64.5" customHeight="1" x14ac:dyDescent="0.2">
      <c r="A841" s="33"/>
      <c r="C841" s="407" t="str">
        <f>"Saldo aset tetap berupa peralatan dan mesin yang dimiliki  "&amp;'[1]2.ISIAN DATA SKPD'!D2&amp;" per "&amp;'[1]2.ISIAN DATA SKPD'!D8&amp;" dan  "&amp;'[1]2.ISIAN DATA SKPD'!D12&amp;" adalah sebesar Rp. "&amp;FIXED(R846)&amp;" dan Rp. "&amp;FIXED(B846)&amp;" naik sebesar Rp. "&amp;FIXED(AC846)&amp;" atau "&amp;FIXED(Y846)&amp;"% dari tahun "&amp;'[1]2.ISIAN DATA SKPD'!D12&amp;"."</f>
        <v>Saldo aset tetap berupa peralatan dan mesin yang dimiliki  Dinas Pariwisata Dan Kebudayaan per 31 Desember 2018 dan  2017 adalah sebesar Rp. 1.865.112.315,00 dan Rp. 1.594.575.563,00 naik sebesar Rp. 270.536.752,00 atau 16,97% dari tahun 2017.</v>
      </c>
      <c r="D841" s="407"/>
      <c r="E841" s="407"/>
      <c r="F841" s="407"/>
      <c r="G841" s="407"/>
      <c r="H841" s="407"/>
      <c r="I841" s="407"/>
      <c r="J841" s="407"/>
      <c r="K841" s="407"/>
      <c r="L841" s="407"/>
      <c r="M841" s="407"/>
      <c r="N841" s="407"/>
      <c r="O841" s="407"/>
      <c r="P841" s="407"/>
      <c r="Q841" s="407"/>
      <c r="R841" s="407"/>
      <c r="S841" s="407"/>
      <c r="T841" s="407"/>
      <c r="U841" s="407"/>
      <c r="V841" s="23"/>
    </row>
    <row r="842" spans="1:32" s="16" customFormat="1" ht="33.75" customHeight="1" x14ac:dyDescent="0.2">
      <c r="A842" s="33"/>
      <c r="C842" s="407" t="s">
        <v>456</v>
      </c>
      <c r="D842" s="407"/>
      <c r="E842" s="407"/>
      <c r="F842" s="407"/>
      <c r="G842" s="407"/>
      <c r="H842" s="407"/>
      <c r="I842" s="407"/>
      <c r="J842" s="407"/>
      <c r="K842" s="407"/>
      <c r="L842" s="407"/>
      <c r="M842" s="407"/>
      <c r="N842" s="407"/>
      <c r="O842" s="407"/>
      <c r="P842" s="407"/>
      <c r="Q842" s="407"/>
      <c r="R842" s="407"/>
      <c r="S842" s="407"/>
      <c r="T842" s="407"/>
      <c r="U842" s="407"/>
      <c r="V842" s="23"/>
    </row>
    <row r="843" spans="1:32" s="16" customFormat="1" ht="20.25" customHeight="1" x14ac:dyDescent="0.2">
      <c r="A843" s="33"/>
      <c r="C843" s="77"/>
      <c r="D843" s="77"/>
      <c r="E843" s="77"/>
      <c r="F843" s="77"/>
      <c r="G843" s="77"/>
      <c r="H843" s="77"/>
      <c r="I843" s="77"/>
      <c r="J843" s="77"/>
      <c r="K843" s="77"/>
      <c r="L843" s="77"/>
      <c r="M843" s="77"/>
      <c r="N843" s="77"/>
      <c r="O843" s="77"/>
      <c r="P843" s="77"/>
      <c r="Q843" s="77"/>
      <c r="R843" s="77"/>
      <c r="S843" s="77"/>
      <c r="T843" s="77"/>
      <c r="U843" s="77"/>
      <c r="V843" s="23"/>
    </row>
    <row r="844" spans="1:32" s="16" customFormat="1" ht="14.25" customHeight="1" x14ac:dyDescent="0.2">
      <c r="A844" s="567" t="s">
        <v>125</v>
      </c>
      <c r="B844" s="600" t="s">
        <v>443</v>
      </c>
      <c r="C844" s="600"/>
      <c r="D844" s="600"/>
      <c r="E844" s="600"/>
      <c r="F844" s="605" t="s">
        <v>444</v>
      </c>
      <c r="G844" s="605"/>
      <c r="H844" s="605"/>
      <c r="I844" s="605"/>
      <c r="J844" s="605"/>
      <c r="K844" s="605"/>
      <c r="L844" s="605" t="s">
        <v>445</v>
      </c>
      <c r="M844" s="605"/>
      <c r="N844" s="605"/>
      <c r="O844" s="605"/>
      <c r="P844" s="605"/>
      <c r="Q844" s="605"/>
      <c r="R844" s="600" t="s">
        <v>446</v>
      </c>
      <c r="S844" s="600"/>
      <c r="T844" s="600"/>
      <c r="U844" s="600"/>
      <c r="V844" s="23"/>
    </row>
    <row r="845" spans="1:32" s="16" customFormat="1" ht="14.25" customHeight="1" x14ac:dyDescent="0.2">
      <c r="A845" s="568"/>
      <c r="B845" s="732">
        <f>B811</f>
        <v>2017</v>
      </c>
      <c r="C845" s="600"/>
      <c r="D845" s="600"/>
      <c r="E845" s="600"/>
      <c r="F845" s="600" t="s">
        <v>447</v>
      </c>
      <c r="G845" s="600"/>
      <c r="H845" s="600"/>
      <c r="I845" s="599" t="s">
        <v>448</v>
      </c>
      <c r="J845" s="599"/>
      <c r="K845" s="599"/>
      <c r="L845" s="600" t="s">
        <v>447</v>
      </c>
      <c r="M845" s="600"/>
      <c r="N845" s="600"/>
      <c r="O845" s="601" t="s">
        <v>448</v>
      </c>
      <c r="P845" s="601"/>
      <c r="Q845" s="601"/>
      <c r="R845" s="569">
        <f>R811</f>
        <v>2018</v>
      </c>
      <c r="S845" s="570"/>
      <c r="T845" s="570"/>
      <c r="U845" s="571"/>
      <c r="V845" s="780"/>
      <c r="W845" s="781"/>
      <c r="X845" s="782"/>
      <c r="Y845" s="783" t="s">
        <v>449</v>
      </c>
      <c r="Z845" s="781"/>
      <c r="AA845" s="781"/>
      <c r="AB845" s="782"/>
      <c r="AC845" s="784" t="s">
        <v>438</v>
      </c>
      <c r="AD845" s="785"/>
      <c r="AE845" s="785"/>
      <c r="AF845" s="785"/>
    </row>
    <row r="846" spans="1:32" s="16" customFormat="1" ht="24.75" customHeight="1" x14ac:dyDescent="0.2">
      <c r="A846" s="200" t="str">
        <f>C840</f>
        <v>Peralatan dan Mesin</v>
      </c>
      <c r="B846" s="766">
        <f>'[1]4.NERACA'!D76</f>
        <v>1594575563.0004001</v>
      </c>
      <c r="C846" s="767"/>
      <c r="D846" s="767"/>
      <c r="E846" s="767"/>
      <c r="F846" s="773">
        <f>'[1]4.NERACA'!E76</f>
        <v>241246072</v>
      </c>
      <c r="G846" s="774"/>
      <c r="H846" s="775"/>
      <c r="I846" s="769">
        <f>'[1]4.NERACA'!F76</f>
        <v>262960820</v>
      </c>
      <c r="J846" s="770"/>
      <c r="K846" s="771"/>
      <c r="L846" s="773">
        <f>'[1]4.NERACA'!G76</f>
        <v>367459500</v>
      </c>
      <c r="M846" s="774"/>
      <c r="N846" s="775"/>
      <c r="O846" s="766">
        <f>'[1]4.NERACA'!H76</f>
        <v>75208000</v>
      </c>
      <c r="P846" s="767"/>
      <c r="Q846" s="768"/>
      <c r="R846" s="793">
        <f>B846+F846-I846+L846-O846</f>
        <v>1865112315.0004001</v>
      </c>
      <c r="S846" s="793"/>
      <c r="T846" s="793"/>
      <c r="U846" s="793"/>
      <c r="V846" s="776"/>
      <c r="W846" s="596"/>
      <c r="X846" s="777"/>
      <c r="Y846" s="778">
        <f>(R846-B846)/B846*100</f>
        <v>16.966066599625428</v>
      </c>
      <c r="Z846" s="596"/>
      <c r="AA846" s="596"/>
      <c r="AB846" s="777"/>
      <c r="AC846" s="593">
        <f>R846-B846</f>
        <v>270536752</v>
      </c>
      <c r="AD846" s="594"/>
      <c r="AE846" s="594"/>
      <c r="AF846" s="779"/>
    </row>
    <row r="847" spans="1:32" s="16" customFormat="1" ht="17.25" customHeight="1" x14ac:dyDescent="0.2">
      <c r="A847" s="11"/>
      <c r="B847" s="408"/>
      <c r="C847" s="408"/>
      <c r="D847" s="408"/>
      <c r="E847" s="408"/>
      <c r="F847" s="408"/>
      <c r="G847" s="408"/>
      <c r="H847" s="408"/>
      <c r="I847" s="408"/>
      <c r="J847" s="408"/>
      <c r="K847" s="408"/>
      <c r="L847" s="408"/>
      <c r="M847" s="408"/>
      <c r="N847" s="408"/>
      <c r="O847" s="408"/>
      <c r="P847" s="408"/>
      <c r="Q847" s="408"/>
      <c r="R847" s="408"/>
      <c r="S847" s="408"/>
      <c r="T847" s="408"/>
      <c r="U847" s="408"/>
      <c r="V847" s="595"/>
      <c r="W847" s="596"/>
      <c r="X847" s="596"/>
      <c r="Y847" s="597"/>
      <c r="Z847" s="596"/>
      <c r="AA847" s="596"/>
      <c r="AB847" s="596"/>
      <c r="AC847" s="597"/>
      <c r="AD847" s="598"/>
      <c r="AE847" s="598"/>
      <c r="AF847" s="598"/>
    </row>
    <row r="848" spans="1:32" s="16" customFormat="1" ht="18" customHeight="1" x14ac:dyDescent="0.2">
      <c r="A848" s="11"/>
      <c r="B848" s="408" t="s">
        <v>450</v>
      </c>
      <c r="C848" s="408"/>
      <c r="D848" s="408"/>
      <c r="E848" s="408"/>
      <c r="F848" s="408"/>
      <c r="G848" s="408"/>
      <c r="H848" s="408"/>
      <c r="I848" s="408"/>
      <c r="J848" s="408"/>
      <c r="K848" s="408"/>
      <c r="L848" s="408"/>
      <c r="M848" s="408"/>
      <c r="N848" s="408"/>
      <c r="O848" s="408"/>
      <c r="P848" s="408"/>
      <c r="Q848" s="408"/>
      <c r="R848" s="408"/>
      <c r="S848" s="408"/>
      <c r="T848" s="408"/>
      <c r="U848" s="408"/>
      <c r="V848" s="23"/>
    </row>
    <row r="849" spans="1:22" s="16" customFormat="1" ht="14.25" customHeight="1" x14ac:dyDescent="0.2">
      <c r="A849" s="201" t="s">
        <v>457</v>
      </c>
      <c r="B849" s="202" t="s">
        <v>160</v>
      </c>
      <c r="C849" s="402" t="s">
        <v>458</v>
      </c>
      <c r="D849" s="402"/>
      <c r="E849" s="402"/>
      <c r="F849" s="402"/>
      <c r="G849" s="402"/>
      <c r="H849" s="402"/>
      <c r="I849" s="402"/>
      <c r="J849" s="402"/>
      <c r="K849" s="402"/>
      <c r="L849" s="402"/>
      <c r="M849" s="402"/>
      <c r="N849" s="402"/>
      <c r="O849" s="402"/>
      <c r="P849" s="402"/>
      <c r="Q849" s="402"/>
      <c r="R849" s="402"/>
      <c r="S849" s="402"/>
      <c r="T849" s="402"/>
      <c r="U849" s="402"/>
      <c r="V849" s="23"/>
    </row>
    <row r="850" spans="1:22" s="16" customFormat="1" ht="31.5" customHeight="1" x14ac:dyDescent="0.2">
      <c r="A850" s="11"/>
      <c r="C850" s="407" t="str">
        <f>"Saldo aset tetap berupa Alat-alat Besar Darat  per "&amp;'[1]2.ISIAN DATA SKPD'!D8&amp;" dan  "&amp;'[1]2.ISIAN DATA SKPD'!D12&amp;" adalah sebesar Rp. "&amp;FIXED(R854)&amp;" dan Rp. "&amp;FIXED(B854)&amp;"."</f>
        <v>Saldo aset tetap berupa Alat-alat Besar Darat  per 31 Desember 2018 dan  2017 adalah sebesar Rp. 0,00 dan Rp. 0,00.</v>
      </c>
      <c r="D850" s="407"/>
      <c r="E850" s="407"/>
      <c r="F850" s="407"/>
      <c r="G850" s="407"/>
      <c r="H850" s="407"/>
      <c r="I850" s="407"/>
      <c r="J850" s="407"/>
      <c r="K850" s="407"/>
      <c r="L850" s="407"/>
      <c r="M850" s="407"/>
      <c r="N850" s="407"/>
      <c r="O850" s="407"/>
      <c r="P850" s="407"/>
      <c r="Q850" s="407"/>
      <c r="R850" s="407"/>
      <c r="S850" s="407"/>
      <c r="T850" s="407"/>
      <c r="U850" s="407"/>
      <c r="V850" s="23"/>
    </row>
    <row r="851" spans="1:22" s="16" customFormat="1" ht="18" customHeight="1" x14ac:dyDescent="0.2">
      <c r="A851" s="11"/>
      <c r="C851" s="407" t="str">
        <f>"Dengan mutasi  selama tahun "&amp;'[1]2.ISIAN DATA SKPD'!D11&amp;" sebagai berikut :"</f>
        <v>Dengan mutasi  selama tahun 2018 sebagai berikut :</v>
      </c>
      <c r="D851" s="407"/>
      <c r="E851" s="407"/>
      <c r="F851" s="407"/>
      <c r="G851" s="407"/>
      <c r="H851" s="407"/>
      <c r="I851" s="407"/>
      <c r="J851" s="407"/>
      <c r="K851" s="407"/>
      <c r="L851" s="407"/>
      <c r="M851" s="407"/>
      <c r="N851" s="407"/>
      <c r="O851" s="407"/>
      <c r="P851" s="407"/>
      <c r="Q851" s="407"/>
      <c r="R851" s="407"/>
      <c r="S851" s="407"/>
      <c r="T851" s="407"/>
      <c r="U851" s="407"/>
      <c r="V851" s="23"/>
    </row>
    <row r="852" spans="1:22" s="16" customFormat="1" ht="18" customHeight="1" x14ac:dyDescent="0.2">
      <c r="A852" s="567" t="s">
        <v>125</v>
      </c>
      <c r="B852" s="600" t="s">
        <v>443</v>
      </c>
      <c r="C852" s="600"/>
      <c r="D852" s="600"/>
      <c r="E852" s="600"/>
      <c r="F852" s="605" t="s">
        <v>444</v>
      </c>
      <c r="G852" s="605"/>
      <c r="H852" s="605"/>
      <c r="I852" s="605"/>
      <c r="J852" s="605"/>
      <c r="K852" s="605"/>
      <c r="L852" s="605" t="s">
        <v>445</v>
      </c>
      <c r="M852" s="605"/>
      <c r="N852" s="605"/>
      <c r="O852" s="605"/>
      <c r="P852" s="605"/>
      <c r="Q852" s="605"/>
      <c r="R852" s="600" t="s">
        <v>446</v>
      </c>
      <c r="S852" s="600"/>
      <c r="T852" s="600"/>
      <c r="U852" s="600"/>
      <c r="V852" s="23"/>
    </row>
    <row r="853" spans="1:22" s="16" customFormat="1" ht="14.25" customHeight="1" x14ac:dyDescent="0.2">
      <c r="A853" s="568"/>
      <c r="B853" s="713">
        <f>B845</f>
        <v>2017</v>
      </c>
      <c r="C853" s="714"/>
      <c r="D853" s="714"/>
      <c r="E853" s="715"/>
      <c r="F853" s="600" t="s">
        <v>447</v>
      </c>
      <c r="G853" s="600"/>
      <c r="H853" s="600"/>
      <c r="I853" s="599" t="s">
        <v>448</v>
      </c>
      <c r="J853" s="599"/>
      <c r="K853" s="599"/>
      <c r="L853" s="600" t="s">
        <v>447</v>
      </c>
      <c r="M853" s="600"/>
      <c r="N853" s="600"/>
      <c r="O853" s="601" t="s">
        <v>448</v>
      </c>
      <c r="P853" s="601"/>
      <c r="Q853" s="601"/>
      <c r="R853" s="569">
        <f>R845</f>
        <v>2018</v>
      </c>
      <c r="S853" s="570"/>
      <c r="T853" s="570"/>
      <c r="U853" s="571"/>
      <c r="V853" s="23"/>
    </row>
    <row r="854" spans="1:22" s="16" customFormat="1" ht="27.75" customHeight="1" x14ac:dyDescent="0.2">
      <c r="A854" s="200" t="str">
        <f>C849</f>
        <v>Alat-alat Besar Darat</v>
      </c>
      <c r="B854" s="766">
        <f>'[1]4.NERACA'!D77</f>
        <v>0</v>
      </c>
      <c r="C854" s="767"/>
      <c r="D854" s="767"/>
      <c r="E854" s="767"/>
      <c r="F854" s="766">
        <f>'[1]4.NERACA'!E77</f>
        <v>0</v>
      </c>
      <c r="G854" s="767"/>
      <c r="H854" s="768"/>
      <c r="I854" s="769">
        <f>'[1]4.NERACA'!H77</f>
        <v>0</v>
      </c>
      <c r="J854" s="770"/>
      <c r="K854" s="771"/>
      <c r="L854" s="766">
        <f>'[1]4.NERACA'!K77</f>
        <v>0</v>
      </c>
      <c r="M854" s="767"/>
      <c r="N854" s="768"/>
      <c r="O854" s="766">
        <f>'[1]4.NERACA'!O77</f>
        <v>0</v>
      </c>
      <c r="P854" s="767"/>
      <c r="Q854" s="768"/>
      <c r="R854" s="772">
        <f>'[1]4.NERACA'!I77</f>
        <v>0</v>
      </c>
      <c r="S854" s="772"/>
      <c r="T854" s="772"/>
      <c r="U854" s="772"/>
      <c r="V854" s="23"/>
    </row>
    <row r="855" spans="1:22" s="16" customFormat="1" ht="20.25" customHeight="1" x14ac:dyDescent="0.2">
      <c r="A855" s="11"/>
      <c r="B855" s="37"/>
      <c r="C855" s="37"/>
      <c r="D855" s="37"/>
      <c r="E855" s="37"/>
      <c r="F855" s="37"/>
      <c r="G855" s="37"/>
      <c r="H855" s="37"/>
      <c r="I855" s="37"/>
      <c r="J855" s="37"/>
      <c r="K855" s="37"/>
      <c r="L855" s="37"/>
      <c r="M855" s="37"/>
      <c r="N855" s="37"/>
      <c r="O855" s="37"/>
      <c r="P855" s="37"/>
      <c r="Q855" s="37"/>
      <c r="R855" s="37"/>
      <c r="S855" s="37"/>
      <c r="T855" s="37"/>
      <c r="U855" s="37"/>
      <c r="V855" s="23"/>
    </row>
    <row r="856" spans="1:22" s="16" customFormat="1" ht="21.75" customHeight="1" x14ac:dyDescent="0.2">
      <c r="A856" s="11"/>
      <c r="B856" s="202" t="s">
        <v>153</v>
      </c>
      <c r="C856" s="402" t="s">
        <v>459</v>
      </c>
      <c r="D856" s="402"/>
      <c r="E856" s="402"/>
      <c r="F856" s="402"/>
      <c r="G856" s="402"/>
      <c r="H856" s="402"/>
      <c r="I856" s="402"/>
      <c r="J856" s="402"/>
      <c r="K856" s="402"/>
      <c r="L856" s="402"/>
      <c r="M856" s="402"/>
      <c r="N856" s="402"/>
      <c r="O856" s="402"/>
      <c r="P856" s="402"/>
      <c r="Q856" s="402"/>
      <c r="R856" s="402"/>
      <c r="S856" s="402"/>
      <c r="T856" s="402"/>
      <c r="U856" s="402"/>
      <c r="V856" s="23"/>
    </row>
    <row r="857" spans="1:22" s="16" customFormat="1" ht="33.75" customHeight="1" x14ac:dyDescent="0.2">
      <c r="A857" s="11"/>
      <c r="C857" s="407" t="str">
        <f>"Nilai aset tetap berupa Alat-alat Bantu  per "&amp;'[1]2.ISIAN DATA SKPD'!D8&amp;" dan  "&amp;'[1]2.ISIAN DATA SKPD'!D17&amp;" adalah sebesar Rp. "&amp;FIXED(R862)&amp;" dan Rp. "&amp;FIXED(B862)&amp;"."</f>
        <v>Nilai aset tetap berupa Alat-alat Bantu  per 31 Desember 2018 dan   adalah sebesar Rp. 5.000.000,00 dan Rp. 0,00.</v>
      </c>
      <c r="D857" s="407"/>
      <c r="E857" s="407"/>
      <c r="F857" s="407"/>
      <c r="G857" s="407"/>
      <c r="H857" s="407"/>
      <c r="I857" s="407"/>
      <c r="J857" s="407"/>
      <c r="K857" s="407"/>
      <c r="L857" s="407"/>
      <c r="M857" s="407"/>
      <c r="N857" s="407"/>
      <c r="O857" s="407"/>
      <c r="P857" s="407"/>
      <c r="Q857" s="407"/>
      <c r="R857" s="407"/>
      <c r="S857" s="407"/>
      <c r="T857" s="407"/>
      <c r="U857" s="407"/>
      <c r="V857" s="23"/>
    </row>
    <row r="858" spans="1:22" s="16" customFormat="1" ht="21" customHeight="1" x14ac:dyDescent="0.2">
      <c r="A858" s="11"/>
      <c r="C858" s="407" t="str">
        <f>"Dengan mutasi  selama tahun "&amp;'[1]2.ISIAN DATA SKPD'!D11&amp;" sebagai berikut :"</f>
        <v>Dengan mutasi  selama tahun 2018 sebagai berikut :</v>
      </c>
      <c r="D858" s="407"/>
      <c r="E858" s="407"/>
      <c r="F858" s="407"/>
      <c r="G858" s="407"/>
      <c r="H858" s="407"/>
      <c r="I858" s="407"/>
      <c r="J858" s="407"/>
      <c r="K858" s="407"/>
      <c r="L858" s="407"/>
      <c r="M858" s="407"/>
      <c r="N858" s="407"/>
      <c r="O858" s="407"/>
      <c r="P858" s="407"/>
      <c r="Q858" s="407"/>
      <c r="R858" s="407"/>
      <c r="S858" s="407"/>
      <c r="T858" s="407"/>
      <c r="U858" s="407"/>
      <c r="V858" s="23"/>
    </row>
    <row r="859" spans="1:22" s="16" customFormat="1" ht="21" customHeight="1" x14ac:dyDescent="0.2">
      <c r="A859" s="11"/>
      <c r="C859" s="77"/>
      <c r="D859" s="77"/>
      <c r="E859" s="77"/>
      <c r="F859" s="77"/>
      <c r="G859" s="77"/>
      <c r="H859" s="77"/>
      <c r="I859" s="77"/>
      <c r="J859" s="77"/>
      <c r="K859" s="77"/>
      <c r="L859" s="77"/>
      <c r="M859" s="77"/>
      <c r="N859" s="77"/>
      <c r="O859" s="77"/>
      <c r="P859" s="77"/>
      <c r="Q859" s="77"/>
      <c r="R859" s="77"/>
      <c r="S859" s="77"/>
      <c r="T859" s="77"/>
      <c r="U859" s="77"/>
      <c r="V859" s="23"/>
    </row>
    <row r="860" spans="1:22" s="16" customFormat="1" ht="14.25" customHeight="1" x14ac:dyDescent="0.2">
      <c r="A860" s="567" t="s">
        <v>125</v>
      </c>
      <c r="B860" s="562" t="s">
        <v>443</v>
      </c>
      <c r="C860" s="562"/>
      <c r="D860" s="562"/>
      <c r="E860" s="562"/>
      <c r="F860" s="572" t="s">
        <v>444</v>
      </c>
      <c r="G860" s="572"/>
      <c r="H860" s="572"/>
      <c r="I860" s="572"/>
      <c r="J860" s="572"/>
      <c r="K860" s="572"/>
      <c r="L860" s="572" t="s">
        <v>445</v>
      </c>
      <c r="M860" s="572"/>
      <c r="N860" s="572"/>
      <c r="O860" s="572"/>
      <c r="P860" s="572"/>
      <c r="Q860" s="572"/>
      <c r="R860" s="562" t="s">
        <v>446</v>
      </c>
      <c r="S860" s="562"/>
      <c r="T860" s="562"/>
      <c r="U860" s="562"/>
      <c r="V860" s="23"/>
    </row>
    <row r="861" spans="1:22" s="16" customFormat="1" ht="14.25" customHeight="1" x14ac:dyDescent="0.2">
      <c r="A861" s="568"/>
      <c r="B861" s="764">
        <f>B853</f>
        <v>2017</v>
      </c>
      <c r="C861" s="562"/>
      <c r="D861" s="562"/>
      <c r="E861" s="562"/>
      <c r="F861" s="562" t="s">
        <v>447</v>
      </c>
      <c r="G861" s="562"/>
      <c r="H861" s="562"/>
      <c r="I861" s="573" t="s">
        <v>448</v>
      </c>
      <c r="J861" s="573"/>
      <c r="K861" s="573"/>
      <c r="L861" s="562" t="s">
        <v>447</v>
      </c>
      <c r="M861" s="562"/>
      <c r="N861" s="562"/>
      <c r="O861" s="563" t="s">
        <v>448</v>
      </c>
      <c r="P861" s="563"/>
      <c r="Q861" s="563"/>
      <c r="R861" s="713">
        <f>R853</f>
        <v>2018</v>
      </c>
      <c r="S861" s="714"/>
      <c r="T861" s="714"/>
      <c r="U861" s="715"/>
      <c r="V861" s="23"/>
    </row>
    <row r="862" spans="1:22" s="16" customFormat="1" ht="29.25" customHeight="1" x14ac:dyDescent="0.2">
      <c r="A862" s="200" t="str">
        <f>C856</f>
        <v>Alat-alat Bantu</v>
      </c>
      <c r="B862" s="766">
        <f>'[1]4.NERACA'!D78</f>
        <v>0</v>
      </c>
      <c r="C862" s="767"/>
      <c r="D862" s="767"/>
      <c r="E862" s="767"/>
      <c r="F862" s="766">
        <f>'[1]4.NERACA'!E78</f>
        <v>5000000</v>
      </c>
      <c r="G862" s="767"/>
      <c r="H862" s="768"/>
      <c r="I862" s="769">
        <f>'[1]4.NERACA'!F78</f>
        <v>5000000</v>
      </c>
      <c r="J862" s="770"/>
      <c r="K862" s="771"/>
      <c r="L862" s="766">
        <f>'[1]4.NERACA'!G78</f>
        <v>5000000</v>
      </c>
      <c r="M862" s="767"/>
      <c r="N862" s="768"/>
      <c r="O862" s="766">
        <f>'[1]4.NERACA'!H78</f>
        <v>0</v>
      </c>
      <c r="P862" s="767"/>
      <c r="Q862" s="768"/>
      <c r="R862" s="772">
        <f>'[1]4.NERACA'!I78</f>
        <v>5000000</v>
      </c>
      <c r="S862" s="772"/>
      <c r="T862" s="772"/>
      <c r="U862" s="772"/>
      <c r="V862" s="23"/>
    </row>
    <row r="863" spans="1:22" s="16" customFormat="1" ht="18" customHeight="1" x14ac:dyDescent="0.2">
      <c r="A863" s="11"/>
      <c r="B863" s="203"/>
      <c r="D863" s="203"/>
      <c r="E863" s="203"/>
      <c r="F863" s="204"/>
      <c r="G863" s="204"/>
      <c r="H863" s="204"/>
      <c r="I863" s="204"/>
      <c r="J863" s="204"/>
      <c r="K863" s="204"/>
      <c r="L863" s="204"/>
      <c r="M863" s="204"/>
      <c r="N863" s="204"/>
      <c r="O863" s="204"/>
      <c r="P863" s="204"/>
      <c r="Q863" s="204"/>
      <c r="R863" s="203"/>
      <c r="S863" s="203"/>
      <c r="T863" s="203"/>
      <c r="U863" s="203"/>
      <c r="V863" s="23"/>
    </row>
    <row r="864" spans="1:22" s="16" customFormat="1" ht="22.5" customHeight="1" x14ac:dyDescent="0.2">
      <c r="A864" s="11"/>
      <c r="B864" s="202" t="s">
        <v>154</v>
      </c>
      <c r="C864" s="402" t="s">
        <v>460</v>
      </c>
      <c r="D864" s="402"/>
      <c r="E864" s="402"/>
      <c r="F864" s="402"/>
      <c r="G864" s="402"/>
      <c r="H864" s="402"/>
      <c r="I864" s="402"/>
      <c r="J864" s="402"/>
      <c r="K864" s="402"/>
      <c r="L864" s="402"/>
      <c r="M864" s="402"/>
      <c r="N864" s="402"/>
      <c r="O864" s="402"/>
      <c r="P864" s="402"/>
      <c r="Q864" s="402"/>
      <c r="R864" s="402"/>
      <c r="S864" s="402"/>
      <c r="T864" s="402"/>
      <c r="U864" s="402"/>
      <c r="V864" s="23"/>
    </row>
    <row r="865" spans="1:22" s="16" customFormat="1" ht="48.75" customHeight="1" x14ac:dyDescent="0.2">
      <c r="A865" s="11"/>
      <c r="C865" s="407" t="str">
        <f>"Saldo aset tetap berupa alat angkutan darat bermotor  per "&amp;'[1]2.ISIAN DATA SKPD'!D8&amp;" dan  "&amp;'[1]2.ISIAN DATA SKPD'!D12&amp;" adalah sebesar Rp. "&amp;FIXED(R870)&amp;" dan Rp. "&amp;FIXED(B870)&amp;"."</f>
        <v>Saldo aset tetap berupa alat angkutan darat bermotor  per 31 Desember 2018 dan  2017 adalah sebesar Rp. 565.636.804,00 dan Rp. 640.844.804,00.</v>
      </c>
      <c r="D865" s="407"/>
      <c r="E865" s="407"/>
      <c r="F865" s="407"/>
      <c r="G865" s="407"/>
      <c r="H865" s="407"/>
      <c r="I865" s="407"/>
      <c r="J865" s="407"/>
      <c r="K865" s="407"/>
      <c r="L865" s="407"/>
      <c r="M865" s="407"/>
      <c r="N865" s="407"/>
      <c r="O865" s="407"/>
      <c r="P865" s="407"/>
      <c r="Q865" s="407"/>
      <c r="R865" s="407"/>
      <c r="S865" s="407"/>
      <c r="T865" s="407"/>
      <c r="U865" s="407"/>
      <c r="V865" s="23"/>
    </row>
    <row r="866" spans="1:22" s="16" customFormat="1" ht="15" customHeight="1" x14ac:dyDescent="0.2">
      <c r="A866" s="11"/>
      <c r="B866" s="77"/>
      <c r="C866" s="407" t="str">
        <f>"Dengan mutasi  selama tahun "&amp;'[1]2.ISIAN DATA SKPD'!D23&amp;" sebagai berikut :"</f>
        <v>Dengan mutasi  selama tahun  sebagai berikut :</v>
      </c>
      <c r="D866" s="407"/>
      <c r="E866" s="407"/>
      <c r="F866" s="407"/>
      <c r="G866" s="407"/>
      <c r="H866" s="407"/>
      <c r="I866" s="407"/>
      <c r="J866" s="407"/>
      <c r="K866" s="407"/>
      <c r="L866" s="407"/>
      <c r="M866" s="407"/>
      <c r="N866" s="407"/>
      <c r="O866" s="407"/>
      <c r="P866" s="407"/>
      <c r="Q866" s="407"/>
      <c r="R866" s="407"/>
      <c r="S866" s="407"/>
      <c r="T866" s="407"/>
      <c r="U866" s="407"/>
      <c r="V866" s="23"/>
    </row>
    <row r="867" spans="1:22" s="16" customFormat="1" ht="15" customHeight="1" x14ac:dyDescent="0.2">
      <c r="A867" s="11"/>
      <c r="B867" s="77"/>
      <c r="C867" s="77"/>
      <c r="D867" s="77"/>
      <c r="E867" s="77"/>
      <c r="F867" s="77"/>
      <c r="G867" s="77"/>
      <c r="H867" s="77"/>
      <c r="I867" s="77"/>
      <c r="J867" s="77"/>
      <c r="K867" s="77"/>
      <c r="L867" s="77"/>
      <c r="M867" s="77"/>
      <c r="N867" s="77"/>
      <c r="O867" s="77"/>
      <c r="P867" s="77"/>
      <c r="Q867" s="77"/>
      <c r="R867" s="77"/>
      <c r="S867" s="77"/>
      <c r="T867" s="77"/>
      <c r="U867" s="77"/>
      <c r="V867" s="23"/>
    </row>
    <row r="868" spans="1:22" s="16" customFormat="1" ht="15.75" customHeight="1" x14ac:dyDescent="0.2">
      <c r="A868" s="567" t="s">
        <v>125</v>
      </c>
      <c r="B868" s="562" t="s">
        <v>443</v>
      </c>
      <c r="C868" s="562"/>
      <c r="D868" s="562"/>
      <c r="E868" s="562"/>
      <c r="F868" s="572" t="s">
        <v>444</v>
      </c>
      <c r="G868" s="572"/>
      <c r="H868" s="572"/>
      <c r="I868" s="572"/>
      <c r="J868" s="572"/>
      <c r="K868" s="572"/>
      <c r="L868" s="572" t="s">
        <v>445</v>
      </c>
      <c r="M868" s="572"/>
      <c r="N868" s="572"/>
      <c r="O868" s="572"/>
      <c r="P868" s="572"/>
      <c r="Q868" s="572"/>
      <c r="R868" s="562" t="s">
        <v>446</v>
      </c>
      <c r="S868" s="562"/>
      <c r="T868" s="562"/>
      <c r="U868" s="562"/>
      <c r="V868" s="23"/>
    </row>
    <row r="869" spans="1:22" s="16" customFormat="1" ht="15.75" customHeight="1" x14ac:dyDescent="0.2">
      <c r="A869" s="568"/>
      <c r="B869" s="764">
        <f>B861</f>
        <v>2017</v>
      </c>
      <c r="C869" s="562"/>
      <c r="D869" s="562"/>
      <c r="E869" s="562"/>
      <c r="F869" s="562" t="s">
        <v>447</v>
      </c>
      <c r="G869" s="562"/>
      <c r="H869" s="562"/>
      <c r="I869" s="573" t="s">
        <v>448</v>
      </c>
      <c r="J869" s="573"/>
      <c r="K869" s="573"/>
      <c r="L869" s="562" t="s">
        <v>447</v>
      </c>
      <c r="M869" s="562"/>
      <c r="N869" s="562"/>
      <c r="O869" s="563" t="s">
        <v>448</v>
      </c>
      <c r="P869" s="563"/>
      <c r="Q869" s="563"/>
      <c r="R869" s="713">
        <f>R861</f>
        <v>2018</v>
      </c>
      <c r="S869" s="714"/>
      <c r="T869" s="714"/>
      <c r="U869" s="715"/>
      <c r="V869" s="23"/>
    </row>
    <row r="870" spans="1:22" s="16" customFormat="1" ht="39.75" customHeight="1" x14ac:dyDescent="0.2">
      <c r="A870" s="200" t="str">
        <f>C864</f>
        <v>Alat Angkutan Darat Bermotor</v>
      </c>
      <c r="B870" s="766">
        <f>'[1]4.NERACA'!D79</f>
        <v>640844804</v>
      </c>
      <c r="C870" s="767"/>
      <c r="D870" s="767"/>
      <c r="E870" s="767"/>
      <c r="F870" s="766">
        <f>'[1]4.NERACA'!E79</f>
        <v>0</v>
      </c>
      <c r="G870" s="767"/>
      <c r="H870" s="768"/>
      <c r="I870" s="769">
        <f>'[1]4.NERACA'!F79</f>
        <v>0</v>
      </c>
      <c r="J870" s="770"/>
      <c r="K870" s="771"/>
      <c r="L870" s="773">
        <f>'[1]4.NERACA'!G79</f>
        <v>0</v>
      </c>
      <c r="M870" s="774"/>
      <c r="N870" s="775"/>
      <c r="O870" s="766">
        <f>'[1]4.NERACA'!H79</f>
        <v>75208000</v>
      </c>
      <c r="P870" s="767"/>
      <c r="Q870" s="768"/>
      <c r="R870" s="772">
        <f>'[1]4.NERACA'!I79</f>
        <v>565636804</v>
      </c>
      <c r="S870" s="772"/>
      <c r="T870" s="772"/>
      <c r="U870" s="772"/>
      <c r="V870" s="23"/>
    </row>
    <row r="871" spans="1:22" s="16" customFormat="1" ht="39.75" customHeight="1" x14ac:dyDescent="0.2">
      <c r="A871" s="11"/>
      <c r="B871" s="205"/>
      <c r="C871" s="205"/>
      <c r="D871" s="205"/>
      <c r="E871" s="205"/>
      <c r="F871" s="205"/>
      <c r="G871" s="205"/>
      <c r="H871" s="205"/>
      <c r="I871" s="205"/>
      <c r="J871" s="205"/>
      <c r="K871" s="205"/>
      <c r="L871" s="206"/>
      <c r="M871" s="206"/>
      <c r="N871" s="206"/>
      <c r="O871" s="205"/>
      <c r="P871" s="205"/>
      <c r="Q871" s="205"/>
      <c r="R871" s="205"/>
      <c r="S871" s="205"/>
      <c r="T871" s="205"/>
      <c r="U871" s="205"/>
      <c r="V871" s="23"/>
    </row>
    <row r="872" spans="1:22" s="16" customFormat="1" ht="22.5" customHeight="1" x14ac:dyDescent="0.2">
      <c r="A872" s="11"/>
      <c r="B872" s="408" t="s">
        <v>461</v>
      </c>
      <c r="C872" s="408"/>
      <c r="D872" s="408"/>
      <c r="E872" s="408"/>
      <c r="F872" s="408"/>
      <c r="G872" s="408"/>
      <c r="H872" s="408"/>
      <c r="I872" s="408"/>
      <c r="J872" s="408"/>
      <c r="K872" s="408"/>
      <c r="L872" s="408"/>
      <c r="M872" s="408"/>
      <c r="N872" s="408"/>
      <c r="O872" s="408"/>
      <c r="P872" s="408"/>
      <c r="Q872" s="408"/>
      <c r="R872" s="408"/>
      <c r="S872" s="408"/>
      <c r="T872" s="408"/>
      <c r="U872" s="408"/>
      <c r="V872" s="23"/>
    </row>
    <row r="873" spans="1:22" s="16" customFormat="1" ht="22.5" customHeight="1" x14ac:dyDescent="0.2">
      <c r="A873" s="11"/>
      <c r="B873" s="207"/>
      <c r="C873" s="408" t="s">
        <v>462</v>
      </c>
      <c r="D873" s="408"/>
      <c r="E873" s="408"/>
      <c r="F873" s="408"/>
      <c r="G873" s="408"/>
      <c r="H873" s="408"/>
      <c r="I873" s="408"/>
      <c r="J873" s="408"/>
      <c r="K873" s="408"/>
      <c r="L873" s="408"/>
      <c r="M873" s="408"/>
      <c r="N873" s="408"/>
      <c r="O873" s="408"/>
      <c r="P873" s="408"/>
      <c r="Q873" s="408"/>
      <c r="R873" s="408"/>
      <c r="S873" s="408"/>
      <c r="T873" s="408"/>
      <c r="U873" s="408"/>
      <c r="V873" s="23"/>
    </row>
    <row r="874" spans="1:22" s="16" customFormat="1" ht="78" customHeight="1" x14ac:dyDescent="0.2">
      <c r="A874" s="11"/>
      <c r="B874" s="125"/>
      <c r="C874" s="408" t="str">
        <f>"Mutasi Debet sebesar Rp. "&amp;FIXED(F870+L870)&amp;" adalah hasil pengadaan barang tahun "&amp;'[1]2.ISIAN DATA SKPD'!D11&amp;" dari belanja modal berupa mutasi Kendaraan AA 9974 NF dari BPPKAD, AA 9607 PF dari BPPKAD, AA 9602 PF dari BPPKAD, AA9603 PF dari BPPKAD, AA 93 F dari Bagian Hukum dan AA 9509 ZF dari Set DPRD "</f>
        <v xml:space="preserve">Mutasi Debet sebesar Rp. 0,00 adalah hasil pengadaan barang tahun 2018 dari belanja modal berupa mutasi Kendaraan AA 9974 NF dari BPPKAD, AA 9607 PF dari BPPKAD, AA 9602 PF dari BPPKAD, AA9603 PF dari BPPKAD, AA 93 F dari Bagian Hukum dan AA 9509 ZF dari Set DPRD </v>
      </c>
      <c r="D874" s="408"/>
      <c r="E874" s="408"/>
      <c r="F874" s="408"/>
      <c r="G874" s="408"/>
      <c r="H874" s="408"/>
      <c r="I874" s="408"/>
      <c r="J874" s="408"/>
      <c r="K874" s="408"/>
      <c r="L874" s="408"/>
      <c r="M874" s="408"/>
      <c r="N874" s="408"/>
      <c r="O874" s="408"/>
      <c r="P874" s="408"/>
      <c r="Q874" s="408"/>
      <c r="R874" s="408"/>
      <c r="S874" s="408"/>
      <c r="T874" s="408"/>
      <c r="U874" s="408"/>
      <c r="V874" s="23"/>
    </row>
    <row r="875" spans="1:22" s="16" customFormat="1" ht="22.5" customHeight="1" x14ac:dyDescent="0.2">
      <c r="A875" s="11"/>
      <c r="B875" s="207"/>
      <c r="C875" s="408" t="s">
        <v>463</v>
      </c>
      <c r="D875" s="408"/>
      <c r="E875" s="408"/>
      <c r="F875" s="408"/>
      <c r="G875" s="408"/>
      <c r="H875" s="408"/>
      <c r="I875" s="408"/>
      <c r="J875" s="408"/>
      <c r="K875" s="408"/>
      <c r="L875" s="408"/>
      <c r="M875" s="408"/>
      <c r="N875" s="408"/>
      <c r="O875" s="408"/>
      <c r="P875" s="408"/>
      <c r="Q875" s="408"/>
      <c r="R875" s="408"/>
      <c r="S875" s="408"/>
      <c r="T875" s="408"/>
      <c r="U875" s="408"/>
      <c r="V875" s="23"/>
    </row>
    <row r="876" spans="1:22" s="16" customFormat="1" ht="24.75" customHeight="1" x14ac:dyDescent="0.2">
      <c r="A876" s="11"/>
      <c r="B876" s="125"/>
      <c r="C876" s="408" t="str">
        <f>"Mutasi Kredit Rp. "&amp;FIXED(I870+O870)&amp;"."</f>
        <v>Mutasi Kredit Rp. 75.208.000,00.</v>
      </c>
      <c r="D876" s="408"/>
      <c r="E876" s="408"/>
      <c r="F876" s="408"/>
      <c r="G876" s="408"/>
      <c r="H876" s="408"/>
      <c r="I876" s="408"/>
      <c r="J876" s="408"/>
      <c r="K876" s="408"/>
      <c r="L876" s="408"/>
      <c r="M876" s="408"/>
      <c r="N876" s="408"/>
      <c r="O876" s="408"/>
      <c r="P876" s="408"/>
      <c r="Q876" s="408"/>
      <c r="R876" s="408"/>
      <c r="S876" s="408"/>
      <c r="T876" s="408"/>
      <c r="U876" s="408"/>
      <c r="V876" s="23"/>
    </row>
    <row r="877" spans="1:22" s="16" customFormat="1" ht="14.25" customHeight="1" x14ac:dyDescent="0.25">
      <c r="A877" s="11"/>
      <c r="B877" s="203"/>
      <c r="C877" s="792"/>
      <c r="D877" s="792"/>
      <c r="E877" s="792"/>
      <c r="F877" s="792"/>
      <c r="G877" s="792"/>
      <c r="H877" s="792"/>
      <c r="I877" s="792"/>
      <c r="J877" s="792"/>
      <c r="K877" s="792"/>
      <c r="L877" s="792"/>
      <c r="M877" s="792"/>
      <c r="N877" s="792"/>
      <c r="O877" s="792"/>
      <c r="P877" s="792"/>
      <c r="Q877" s="792"/>
      <c r="R877" s="792"/>
      <c r="S877" s="792"/>
      <c r="T877" s="792"/>
      <c r="U877" s="792"/>
      <c r="V877" s="23"/>
    </row>
    <row r="878" spans="1:22" s="16" customFormat="1" ht="22.5" customHeight="1" x14ac:dyDescent="0.2">
      <c r="A878" s="11"/>
      <c r="B878" s="202" t="s">
        <v>155</v>
      </c>
      <c r="C878" s="402" t="s">
        <v>464</v>
      </c>
      <c r="D878" s="402"/>
      <c r="E878" s="402"/>
      <c r="F878" s="402"/>
      <c r="G878" s="402"/>
      <c r="H878" s="402"/>
      <c r="I878" s="402"/>
      <c r="J878" s="402"/>
      <c r="K878" s="402"/>
      <c r="L878" s="402"/>
      <c r="M878" s="402"/>
      <c r="N878" s="402"/>
      <c r="O878" s="402"/>
      <c r="P878" s="402"/>
      <c r="Q878" s="402"/>
      <c r="R878" s="402"/>
      <c r="S878" s="402"/>
      <c r="T878" s="402"/>
      <c r="U878" s="402"/>
      <c r="V878" s="23"/>
    </row>
    <row r="879" spans="1:22" s="16" customFormat="1" ht="37.5" customHeight="1" x14ac:dyDescent="0.2">
      <c r="A879" s="11"/>
      <c r="C879" s="407" t="str">
        <f>"Nilai aset tetap berupa alat angkutan darat tak  bermotor  per "&amp;'[1]2.ISIAN DATA SKPD'!D8&amp;" dan  "&amp;'[1]2.ISIAN DATA SKPD'!D12&amp;" adalah sebesar Rp. "&amp;FIXED(R884)&amp;" dan Rp. "&amp;FIXED(B884)&amp;"."</f>
        <v>Nilai aset tetap berupa alat angkutan darat tak  bermotor  per 31 Desember 2018 dan  2017 adalah sebesar Rp. 0,00 dan Rp. 0,00.</v>
      </c>
      <c r="D879" s="407"/>
      <c r="E879" s="407"/>
      <c r="F879" s="407"/>
      <c r="G879" s="407"/>
      <c r="H879" s="407"/>
      <c r="I879" s="407"/>
      <c r="J879" s="407"/>
      <c r="K879" s="407"/>
      <c r="L879" s="407"/>
      <c r="M879" s="407"/>
      <c r="N879" s="407"/>
      <c r="O879" s="407"/>
      <c r="P879" s="407"/>
      <c r="Q879" s="407"/>
      <c r="R879" s="407"/>
      <c r="S879" s="407"/>
      <c r="T879" s="407"/>
      <c r="U879" s="407"/>
      <c r="V879" s="23"/>
    </row>
    <row r="880" spans="1:22" s="16" customFormat="1" ht="18.75" customHeight="1" x14ac:dyDescent="0.2">
      <c r="A880" s="11"/>
      <c r="C880" s="77"/>
      <c r="D880" s="77"/>
      <c r="E880" s="77"/>
      <c r="F880" s="77"/>
      <c r="G880" s="77"/>
      <c r="H880" s="77"/>
      <c r="I880" s="77"/>
      <c r="J880" s="77"/>
      <c r="K880" s="77"/>
      <c r="L880" s="77"/>
      <c r="M880" s="77"/>
      <c r="N880" s="77"/>
      <c r="O880" s="77"/>
      <c r="P880" s="77"/>
      <c r="Q880" s="77"/>
      <c r="R880" s="77"/>
      <c r="S880" s="77"/>
      <c r="T880" s="77"/>
      <c r="U880" s="77"/>
      <c r="V880" s="23"/>
    </row>
    <row r="881" spans="1:22" s="16" customFormat="1" ht="20.25" customHeight="1" x14ac:dyDescent="0.2">
      <c r="A881" s="11"/>
      <c r="B881" s="77"/>
      <c r="C881" s="407" t="str">
        <f>"Dengan mutasi  selama tahun "&amp;'[1]2.ISIAN DATA SKPD'!D35&amp;" sebagai berikut :"</f>
        <v>Dengan mutasi  selama tahun  sebagai berikut :</v>
      </c>
      <c r="D881" s="407"/>
      <c r="E881" s="407"/>
      <c r="F881" s="407"/>
      <c r="G881" s="407"/>
      <c r="H881" s="407"/>
      <c r="I881" s="407"/>
      <c r="J881" s="407"/>
      <c r="K881" s="407"/>
      <c r="L881" s="407"/>
      <c r="M881" s="407"/>
      <c r="N881" s="407"/>
      <c r="O881" s="407"/>
      <c r="P881" s="407"/>
      <c r="Q881" s="407"/>
      <c r="R881" s="407"/>
      <c r="S881" s="407"/>
      <c r="T881" s="407"/>
      <c r="U881" s="407"/>
      <c r="V881" s="23"/>
    </row>
    <row r="882" spans="1:22" s="16" customFormat="1" ht="15.75" customHeight="1" x14ac:dyDescent="0.2">
      <c r="A882" s="567" t="s">
        <v>125</v>
      </c>
      <c r="B882" s="600" t="s">
        <v>443</v>
      </c>
      <c r="C882" s="600"/>
      <c r="D882" s="600"/>
      <c r="E882" s="600"/>
      <c r="F882" s="605" t="s">
        <v>444</v>
      </c>
      <c r="G882" s="605"/>
      <c r="H882" s="605"/>
      <c r="I882" s="605"/>
      <c r="J882" s="605"/>
      <c r="K882" s="605"/>
      <c r="L882" s="605" t="s">
        <v>445</v>
      </c>
      <c r="M882" s="605"/>
      <c r="N882" s="605"/>
      <c r="O882" s="605"/>
      <c r="P882" s="605"/>
      <c r="Q882" s="605"/>
      <c r="R882" s="713" t="s">
        <v>446</v>
      </c>
      <c r="S882" s="714"/>
      <c r="T882" s="714"/>
      <c r="U882" s="715"/>
      <c r="V882" s="23"/>
    </row>
    <row r="883" spans="1:22" s="16" customFormat="1" ht="15.75" customHeight="1" x14ac:dyDescent="0.2">
      <c r="A883" s="568"/>
      <c r="B883" s="732">
        <f>B869</f>
        <v>2017</v>
      </c>
      <c r="C883" s="600"/>
      <c r="D883" s="600"/>
      <c r="E883" s="600"/>
      <c r="F883" s="600" t="s">
        <v>447</v>
      </c>
      <c r="G883" s="600"/>
      <c r="H883" s="600"/>
      <c r="I883" s="599" t="s">
        <v>448</v>
      </c>
      <c r="J883" s="599"/>
      <c r="K883" s="599"/>
      <c r="L883" s="600" t="s">
        <v>447</v>
      </c>
      <c r="M883" s="600"/>
      <c r="N883" s="600"/>
      <c r="O883" s="601" t="s">
        <v>448</v>
      </c>
      <c r="P883" s="601"/>
      <c r="Q883" s="601"/>
      <c r="R883" s="713">
        <f>R869</f>
        <v>2018</v>
      </c>
      <c r="S883" s="714"/>
      <c r="T883" s="714"/>
      <c r="U883" s="715"/>
      <c r="V883" s="23"/>
    </row>
    <row r="884" spans="1:22" s="16" customFormat="1" ht="42.75" customHeight="1" x14ac:dyDescent="0.2">
      <c r="A884" s="200" t="str">
        <f>C878</f>
        <v>Alat  Angkutan Darat Tak Bermotor</v>
      </c>
      <c r="B884" s="766">
        <f>'[1]4.NERACA'!D80</f>
        <v>0</v>
      </c>
      <c r="C884" s="767"/>
      <c r="D884" s="767"/>
      <c r="E884" s="767"/>
      <c r="F884" s="766">
        <f>'[1]4.NERACA'!E80</f>
        <v>0</v>
      </c>
      <c r="G884" s="767"/>
      <c r="H884" s="768"/>
      <c r="I884" s="769">
        <f>'[1]4.NERACA'!F80</f>
        <v>0</v>
      </c>
      <c r="J884" s="770"/>
      <c r="K884" s="771"/>
      <c r="L884" s="766">
        <f>'[1]4.NERACA'!G80</f>
        <v>0</v>
      </c>
      <c r="M884" s="767"/>
      <c r="N884" s="768"/>
      <c r="O884" s="766">
        <f>'[1]4.NERACA'!H80</f>
        <v>0</v>
      </c>
      <c r="P884" s="767"/>
      <c r="Q884" s="768"/>
      <c r="R884" s="772">
        <f>'[1]4.NERACA'!I80</f>
        <v>0</v>
      </c>
      <c r="S884" s="772"/>
      <c r="T884" s="772"/>
      <c r="U884" s="772"/>
      <c r="V884" s="23"/>
    </row>
    <row r="885" spans="1:22" s="16" customFormat="1" ht="22.5" customHeight="1" x14ac:dyDescent="0.2">
      <c r="A885" s="11"/>
      <c r="B885" s="408" t="s">
        <v>461</v>
      </c>
      <c r="C885" s="408"/>
      <c r="D885" s="408"/>
      <c r="E885" s="408"/>
      <c r="F885" s="408"/>
      <c r="G885" s="408"/>
      <c r="H885" s="408"/>
      <c r="I885" s="408"/>
      <c r="J885" s="408"/>
      <c r="K885" s="408"/>
      <c r="L885" s="408"/>
      <c r="M885" s="408"/>
      <c r="N885" s="408"/>
      <c r="O885" s="408"/>
      <c r="P885" s="408"/>
      <c r="Q885" s="408"/>
      <c r="R885" s="408"/>
      <c r="S885" s="408"/>
      <c r="T885" s="408"/>
      <c r="U885" s="408"/>
      <c r="V885" s="23"/>
    </row>
    <row r="886" spans="1:22" s="16" customFormat="1" ht="22.5" customHeight="1" x14ac:dyDescent="0.2">
      <c r="A886" s="11"/>
      <c r="B886" s="207"/>
      <c r="C886" s="408" t="s">
        <v>462</v>
      </c>
      <c r="D886" s="408"/>
      <c r="E886" s="408"/>
      <c r="F886" s="408"/>
      <c r="G886" s="408"/>
      <c r="H886" s="408"/>
      <c r="I886" s="408"/>
      <c r="J886" s="408"/>
      <c r="K886" s="408"/>
      <c r="L886" s="408"/>
      <c r="M886" s="408"/>
      <c r="N886" s="408"/>
      <c r="O886" s="408"/>
      <c r="P886" s="408"/>
      <c r="Q886" s="408"/>
      <c r="R886" s="408"/>
      <c r="S886" s="408"/>
      <c r="T886" s="408"/>
      <c r="U886" s="408"/>
      <c r="V886" s="23"/>
    </row>
    <row r="887" spans="1:22" s="16" customFormat="1" ht="22.5" customHeight="1" x14ac:dyDescent="0.2">
      <c r="A887" s="11"/>
      <c r="B887" s="125"/>
      <c r="C887" s="408" t="str">
        <f>"Mutasi Debet sebesar Rp. "&amp;FIXED(F884+L884)&amp;"."</f>
        <v>Mutasi Debet sebesar Rp. 0,00.</v>
      </c>
      <c r="D887" s="408"/>
      <c r="E887" s="408"/>
      <c r="F887" s="408"/>
      <c r="G887" s="408"/>
      <c r="H887" s="408"/>
      <c r="I887" s="408"/>
      <c r="J887" s="408"/>
      <c r="K887" s="408"/>
      <c r="L887" s="408"/>
      <c r="M887" s="408"/>
      <c r="N887" s="408"/>
      <c r="O887" s="408"/>
      <c r="P887" s="408"/>
      <c r="Q887" s="408"/>
      <c r="R887" s="408"/>
      <c r="S887" s="408"/>
      <c r="T887" s="408"/>
      <c r="U887" s="408"/>
      <c r="V887" s="23"/>
    </row>
    <row r="888" spans="1:22" s="16" customFormat="1" ht="19.5" customHeight="1" x14ac:dyDescent="0.2">
      <c r="A888" s="11"/>
      <c r="B888" s="207"/>
      <c r="C888" s="408" t="s">
        <v>463</v>
      </c>
      <c r="D888" s="408"/>
      <c r="E888" s="408"/>
      <c r="F888" s="408"/>
      <c r="G888" s="408"/>
      <c r="H888" s="408"/>
      <c r="I888" s="408"/>
      <c r="J888" s="408"/>
      <c r="K888" s="408"/>
      <c r="L888" s="408"/>
      <c r="M888" s="408"/>
      <c r="N888" s="408"/>
      <c r="O888" s="408"/>
      <c r="P888" s="408"/>
      <c r="Q888" s="408"/>
      <c r="R888" s="408"/>
      <c r="S888" s="408"/>
      <c r="T888" s="408"/>
      <c r="U888" s="408"/>
      <c r="V888" s="23"/>
    </row>
    <row r="889" spans="1:22" s="16" customFormat="1" ht="23.25" customHeight="1" x14ac:dyDescent="0.2">
      <c r="A889" s="11"/>
      <c r="B889" s="125"/>
      <c r="C889" s="408" t="str">
        <f>"Mutasi Kredit Rp. "&amp;FIXED(I884+O884)&amp;" ."</f>
        <v>Mutasi Kredit Rp. 0,00 .</v>
      </c>
      <c r="D889" s="408"/>
      <c r="E889" s="408"/>
      <c r="F889" s="408"/>
      <c r="G889" s="408"/>
      <c r="H889" s="408"/>
      <c r="I889" s="408"/>
      <c r="J889" s="408"/>
      <c r="K889" s="408"/>
      <c r="L889" s="408"/>
      <c r="M889" s="408"/>
      <c r="N889" s="408"/>
      <c r="O889" s="408"/>
      <c r="P889" s="408"/>
      <c r="Q889" s="408"/>
      <c r="R889" s="408"/>
      <c r="S889" s="408"/>
      <c r="T889" s="408"/>
      <c r="U889" s="408"/>
      <c r="V889" s="23"/>
    </row>
    <row r="890" spans="1:22" s="16" customFormat="1" ht="17.25" customHeight="1" x14ac:dyDescent="0.2">
      <c r="A890" s="11"/>
      <c r="B890" s="203"/>
      <c r="C890" s="203"/>
      <c r="D890" s="203"/>
      <c r="E890" s="203"/>
      <c r="F890" s="204"/>
      <c r="G890" s="204"/>
      <c r="H890" s="204"/>
      <c r="I890" s="204"/>
      <c r="J890" s="204"/>
      <c r="K890" s="204"/>
      <c r="L890" s="204"/>
      <c r="M890" s="204"/>
      <c r="N890" s="204"/>
      <c r="O890" s="204"/>
      <c r="P890" s="204"/>
      <c r="Q890" s="204"/>
      <c r="R890" s="203"/>
      <c r="S890" s="203"/>
      <c r="T890" s="203"/>
      <c r="U890" s="203"/>
      <c r="V890" s="23"/>
    </row>
    <row r="891" spans="1:22" s="16" customFormat="1" ht="22.5" customHeight="1" x14ac:dyDescent="0.2">
      <c r="A891" s="11"/>
      <c r="B891" s="202" t="s">
        <v>156</v>
      </c>
      <c r="C891" s="402" t="s">
        <v>465</v>
      </c>
      <c r="D891" s="402"/>
      <c r="E891" s="402"/>
      <c r="F891" s="402"/>
      <c r="G891" s="402"/>
      <c r="H891" s="402"/>
      <c r="I891" s="402"/>
      <c r="J891" s="402"/>
      <c r="K891" s="402"/>
      <c r="L891" s="402"/>
      <c r="M891" s="402"/>
      <c r="N891" s="402"/>
      <c r="O891" s="402"/>
      <c r="P891" s="402"/>
      <c r="Q891" s="402"/>
      <c r="R891" s="402"/>
      <c r="S891" s="402"/>
      <c r="T891" s="402"/>
      <c r="U891" s="402"/>
      <c r="V891" s="23"/>
    </row>
    <row r="892" spans="1:22" s="16" customFormat="1" ht="62.25" customHeight="1" x14ac:dyDescent="0.2">
      <c r="A892" s="11"/>
      <c r="C892" s="407" t="str">
        <f>"Nilai aset tetap berupa alat ukur  per "&amp;'[1]2.ISIAN DATA SKPD'!D8&amp;" dan  "&amp;'[1]2.ISIAN DATA SKPD'!D12&amp;" adalah sebesar Rp. "&amp;FIXED(R897)&amp;" dan Rp. "&amp;FIXED(B897)&amp;" tidak mengalami kenaikan/penurunan sebesar Rp. "&amp;FIXED('[1]4.NERACA'!K81)&amp;" atau sebesar "&amp;FIXED('[1]4.NERACA'!J81)&amp;"% dari tahun "&amp;'[1]2.ISIAN DATA SKPD'!D12&amp;"."</f>
        <v>Nilai aset tetap berupa alat ukur  per 31 Desember 2018 dan  2017 adalah sebesar Rp. 12.283.700,00 dan Rp. 12.283.700,00 tidak mengalami kenaikan/penurunan sebesar Rp. 0,00 atau sebesar 0,00% dari tahun 2017.</v>
      </c>
      <c r="D892" s="407"/>
      <c r="E892" s="407"/>
      <c r="F892" s="407"/>
      <c r="G892" s="407"/>
      <c r="H892" s="407"/>
      <c r="I892" s="407"/>
      <c r="J892" s="407"/>
      <c r="K892" s="407"/>
      <c r="L892" s="407"/>
      <c r="M892" s="407"/>
      <c r="N892" s="407"/>
      <c r="O892" s="407"/>
      <c r="P892" s="407"/>
      <c r="Q892" s="407"/>
      <c r="R892" s="407"/>
      <c r="S892" s="407"/>
      <c r="T892" s="407"/>
      <c r="U892" s="407"/>
      <c r="V892" s="23"/>
    </row>
    <row r="893" spans="1:22" s="16" customFormat="1" ht="21.75" customHeight="1" x14ac:dyDescent="0.2">
      <c r="A893" s="11"/>
      <c r="C893" s="407" t="str">
        <f>"Dengan mutasi  selama tahun "&amp;'[1]2.ISIAN DATA SKPD'!D11&amp;" sebagai berikut :"</f>
        <v>Dengan mutasi  selama tahun 2018 sebagai berikut :</v>
      </c>
      <c r="D893" s="407"/>
      <c r="E893" s="407"/>
      <c r="F893" s="407"/>
      <c r="G893" s="407"/>
      <c r="H893" s="407"/>
      <c r="I893" s="407"/>
      <c r="J893" s="407"/>
      <c r="K893" s="407"/>
      <c r="L893" s="407"/>
      <c r="M893" s="407"/>
      <c r="N893" s="407"/>
      <c r="O893" s="407"/>
      <c r="P893" s="407"/>
      <c r="Q893" s="407"/>
      <c r="R893" s="407"/>
      <c r="S893" s="407"/>
      <c r="T893" s="407"/>
      <c r="U893" s="407"/>
      <c r="V893" s="23"/>
    </row>
    <row r="894" spans="1:22" s="16" customFormat="1" ht="10.5" customHeight="1" x14ac:dyDescent="0.2">
      <c r="A894" s="11"/>
      <c r="C894" s="77"/>
      <c r="D894" s="77"/>
      <c r="E894" s="77"/>
      <c r="F894" s="77"/>
      <c r="G894" s="77"/>
      <c r="H894" s="77"/>
      <c r="I894" s="77"/>
      <c r="J894" s="77"/>
      <c r="K894" s="77"/>
      <c r="L894" s="77"/>
      <c r="M894" s="77"/>
      <c r="N894" s="77"/>
      <c r="O894" s="77"/>
      <c r="P894" s="77"/>
      <c r="Q894" s="77"/>
      <c r="R894" s="77"/>
      <c r="S894" s="77"/>
      <c r="T894" s="77"/>
      <c r="U894" s="77"/>
      <c r="V894" s="23"/>
    </row>
    <row r="895" spans="1:22" s="16" customFormat="1" ht="15.75" customHeight="1" x14ac:dyDescent="0.2">
      <c r="A895" s="567" t="s">
        <v>125</v>
      </c>
      <c r="B895" s="600" t="s">
        <v>443</v>
      </c>
      <c r="C895" s="600"/>
      <c r="D895" s="600"/>
      <c r="E895" s="600"/>
      <c r="F895" s="605" t="s">
        <v>444</v>
      </c>
      <c r="G895" s="605"/>
      <c r="H895" s="605"/>
      <c r="I895" s="605"/>
      <c r="J895" s="605"/>
      <c r="K895" s="605"/>
      <c r="L895" s="605" t="s">
        <v>445</v>
      </c>
      <c r="M895" s="605"/>
      <c r="N895" s="605"/>
      <c r="O895" s="605"/>
      <c r="P895" s="605"/>
      <c r="Q895" s="605"/>
      <c r="R895" s="600" t="s">
        <v>446</v>
      </c>
      <c r="S895" s="600"/>
      <c r="T895" s="600"/>
      <c r="U895" s="600"/>
      <c r="V895" s="23"/>
    </row>
    <row r="896" spans="1:22" s="16" customFormat="1" ht="15.75" customHeight="1" x14ac:dyDescent="0.2">
      <c r="A896" s="568"/>
      <c r="B896" s="732">
        <f>B883</f>
        <v>2017</v>
      </c>
      <c r="C896" s="600"/>
      <c r="D896" s="600"/>
      <c r="E896" s="600"/>
      <c r="F896" s="600" t="s">
        <v>447</v>
      </c>
      <c r="G896" s="600"/>
      <c r="H896" s="600"/>
      <c r="I896" s="599" t="s">
        <v>448</v>
      </c>
      <c r="J896" s="599"/>
      <c r="K896" s="599"/>
      <c r="L896" s="600" t="s">
        <v>447</v>
      </c>
      <c r="M896" s="600"/>
      <c r="N896" s="600"/>
      <c r="O896" s="601" t="s">
        <v>448</v>
      </c>
      <c r="P896" s="601"/>
      <c r="Q896" s="601"/>
      <c r="R896" s="713">
        <f>R883</f>
        <v>2018</v>
      </c>
      <c r="S896" s="714"/>
      <c r="T896" s="714"/>
      <c r="U896" s="715"/>
      <c r="V896" s="23"/>
    </row>
    <row r="897" spans="1:32" s="16" customFormat="1" ht="21" customHeight="1" x14ac:dyDescent="0.2">
      <c r="A897" s="200" t="str">
        <f>C891</f>
        <v>Alat  Ukur</v>
      </c>
      <c r="B897" s="766">
        <f>'[1]4.NERACA'!D81</f>
        <v>12283700</v>
      </c>
      <c r="C897" s="767"/>
      <c r="D897" s="767"/>
      <c r="E897" s="767"/>
      <c r="F897" s="766">
        <f>'[1]4.NERACA'!E81</f>
        <v>0</v>
      </c>
      <c r="G897" s="767"/>
      <c r="H897" s="768"/>
      <c r="I897" s="769">
        <f>'[1]4.NERACA'!F81</f>
        <v>0</v>
      </c>
      <c r="J897" s="770"/>
      <c r="K897" s="771"/>
      <c r="L897" s="766">
        <f>'[1]4.NERACA'!G81</f>
        <v>0</v>
      </c>
      <c r="M897" s="767"/>
      <c r="N897" s="768"/>
      <c r="O897" s="766">
        <f>'[1]4.NERACA'!H81</f>
        <v>0</v>
      </c>
      <c r="P897" s="767"/>
      <c r="Q897" s="768"/>
      <c r="R897" s="772">
        <f>B897+F897-I897+L897-O897</f>
        <v>12283700</v>
      </c>
      <c r="S897" s="772"/>
      <c r="T897" s="772"/>
      <c r="U897" s="772"/>
      <c r="V897" s="23"/>
    </row>
    <row r="898" spans="1:32" s="16" customFormat="1" ht="21.75" customHeight="1" x14ac:dyDescent="0.2">
      <c r="A898" s="11"/>
      <c r="B898" s="408" t="s">
        <v>461</v>
      </c>
      <c r="C898" s="408"/>
      <c r="D898" s="408"/>
      <c r="E898" s="408"/>
      <c r="F898" s="408"/>
      <c r="G898" s="408"/>
      <c r="H898" s="408"/>
      <c r="I898" s="408"/>
      <c r="J898" s="408"/>
      <c r="K898" s="408"/>
      <c r="L898" s="408"/>
      <c r="M898" s="408"/>
      <c r="N898" s="408"/>
      <c r="O898" s="408"/>
      <c r="P898" s="408"/>
      <c r="Q898" s="408"/>
      <c r="R898" s="408"/>
      <c r="S898" s="408"/>
      <c r="T898" s="408"/>
      <c r="U898" s="408"/>
      <c r="V898" s="23"/>
    </row>
    <row r="899" spans="1:32" s="16" customFormat="1" ht="21.75" customHeight="1" x14ac:dyDescent="0.2">
      <c r="A899" s="11"/>
      <c r="B899" s="207"/>
      <c r="C899" s="408" t="s">
        <v>462</v>
      </c>
      <c r="D899" s="408"/>
      <c r="E899" s="408"/>
      <c r="F899" s="408"/>
      <c r="G899" s="408"/>
      <c r="H899" s="408"/>
      <c r="I899" s="408"/>
      <c r="J899" s="408"/>
      <c r="K899" s="408"/>
      <c r="L899" s="408"/>
      <c r="M899" s="408"/>
      <c r="N899" s="408"/>
      <c r="O899" s="408"/>
      <c r="P899" s="408"/>
      <c r="Q899" s="408"/>
      <c r="R899" s="408"/>
      <c r="S899" s="408"/>
      <c r="T899" s="408"/>
      <c r="U899" s="408"/>
      <c r="V899" s="23"/>
    </row>
    <row r="900" spans="1:32" s="16" customFormat="1" ht="20.25" customHeight="1" x14ac:dyDescent="0.2">
      <c r="A900" s="11"/>
      <c r="B900" s="125"/>
      <c r="C900" s="408" t="str">
        <f>"Mutasi Debet sebesar Rp. "&amp;FIXED(F897+L897)&amp;" ."</f>
        <v>Mutasi Debet sebesar Rp. 0,00 .</v>
      </c>
      <c r="D900" s="408"/>
      <c r="E900" s="408"/>
      <c r="F900" s="408"/>
      <c r="G900" s="408"/>
      <c r="H900" s="408"/>
      <c r="I900" s="408"/>
      <c r="J900" s="408"/>
      <c r="K900" s="408"/>
      <c r="L900" s="408"/>
      <c r="M900" s="408"/>
      <c r="N900" s="408"/>
      <c r="O900" s="408"/>
      <c r="P900" s="408"/>
      <c r="Q900" s="408"/>
      <c r="R900" s="408"/>
      <c r="S900" s="408"/>
      <c r="T900" s="408"/>
      <c r="U900" s="408"/>
      <c r="V900" s="23"/>
    </row>
    <row r="901" spans="1:32" s="16" customFormat="1" ht="21.75" customHeight="1" x14ac:dyDescent="0.2">
      <c r="A901" s="11"/>
      <c r="B901" s="207"/>
      <c r="C901" s="408" t="s">
        <v>463</v>
      </c>
      <c r="D901" s="408"/>
      <c r="E901" s="408"/>
      <c r="F901" s="408"/>
      <c r="G901" s="408"/>
      <c r="H901" s="408"/>
      <c r="I901" s="408"/>
      <c r="J901" s="408"/>
      <c r="K901" s="408"/>
      <c r="L901" s="408"/>
      <c r="M901" s="408"/>
      <c r="N901" s="408"/>
      <c r="O901" s="408"/>
      <c r="P901" s="408"/>
      <c r="Q901" s="408"/>
      <c r="R901" s="408"/>
      <c r="S901" s="408"/>
      <c r="T901" s="408"/>
      <c r="U901" s="408"/>
      <c r="V901" s="23"/>
    </row>
    <row r="902" spans="1:32" s="16" customFormat="1" ht="22.5" customHeight="1" x14ac:dyDescent="0.2">
      <c r="A902" s="11"/>
      <c r="B902" s="125"/>
      <c r="C902" s="408" t="str">
        <f>"Mutasi Kredit Rp. "&amp;FIXED(I897+O897)&amp;"."</f>
        <v>Mutasi Kredit Rp. 0,00.</v>
      </c>
      <c r="D902" s="408"/>
      <c r="E902" s="408"/>
      <c r="F902" s="408"/>
      <c r="G902" s="408"/>
      <c r="H902" s="408"/>
      <c r="I902" s="408"/>
      <c r="J902" s="408"/>
      <c r="K902" s="408"/>
      <c r="L902" s="408"/>
      <c r="M902" s="408"/>
      <c r="N902" s="408"/>
      <c r="O902" s="408"/>
      <c r="P902" s="408"/>
      <c r="Q902" s="408"/>
      <c r="R902" s="408"/>
      <c r="S902" s="408"/>
      <c r="T902" s="408"/>
      <c r="U902" s="408"/>
      <c r="V902" s="23"/>
    </row>
    <row r="903" spans="1:32" s="16" customFormat="1" ht="21.75" customHeight="1" x14ac:dyDescent="0.2">
      <c r="A903" s="11"/>
      <c r="B903" s="203"/>
      <c r="C903" s="117"/>
      <c r="D903" s="117"/>
      <c r="E903" s="117"/>
      <c r="F903" s="117"/>
      <c r="G903" s="117"/>
      <c r="H903" s="117"/>
      <c r="I903" s="117"/>
      <c r="J903" s="117"/>
      <c r="K903" s="117"/>
      <c r="L903" s="117"/>
      <c r="M903" s="117"/>
      <c r="N903" s="117"/>
      <c r="O903" s="117"/>
      <c r="P903" s="117"/>
      <c r="Q903" s="117"/>
      <c r="R903" s="117"/>
      <c r="S903" s="117"/>
      <c r="T903" s="117"/>
      <c r="U903" s="117"/>
      <c r="V903" s="23"/>
    </row>
    <row r="904" spans="1:32" s="16" customFormat="1" ht="21.75" customHeight="1" x14ac:dyDescent="0.2">
      <c r="A904" s="11"/>
      <c r="B904" s="202" t="s">
        <v>325</v>
      </c>
      <c r="C904" s="402" t="s">
        <v>466</v>
      </c>
      <c r="D904" s="402"/>
      <c r="E904" s="402"/>
      <c r="F904" s="402"/>
      <c r="G904" s="402"/>
      <c r="H904" s="402"/>
      <c r="I904" s="402"/>
      <c r="J904" s="402"/>
      <c r="K904" s="402"/>
      <c r="L904" s="402"/>
      <c r="M904" s="402"/>
      <c r="N904" s="402"/>
      <c r="O904" s="402"/>
      <c r="P904" s="402"/>
      <c r="Q904" s="402"/>
      <c r="R904" s="402"/>
      <c r="S904" s="402"/>
      <c r="T904" s="402"/>
      <c r="U904" s="402"/>
      <c r="V904" s="23"/>
    </row>
    <row r="905" spans="1:32" s="16" customFormat="1" ht="62.25" customHeight="1" x14ac:dyDescent="0.2">
      <c r="A905" s="11"/>
      <c r="C905" s="407" t="str">
        <f>"Nilai aset tetap berupa alat kantor  per "&amp;'[1]2.ISIAN DATA SKPD'!D8&amp;" dan  "&amp;'[1]2.ISIAN DATA SKPD'!D12&amp;" adalah sebesar Rp. "&amp;FIXED(R909)&amp;" dan Rp. "&amp;FIXED(B909)&amp;" mengalami kenaikan sebesar Rp. "&amp;FIXED('[1]4.NERACA'!K82)&amp;" atau sebesar "&amp;FIXED('[1]4.NERACA'!J82)&amp;"% dari tahun "&amp;'[1]2.ISIAN DATA SKPD'!D12&amp;"."</f>
        <v>Nilai aset tetap berupa alat kantor  per 31 Desember 2018 dan  2017 adalah sebesar Rp. 393.686.940,00 dan Rp. 379.721.850,00 mengalami kenaikan sebesar Rp. 13.965.090,00 atau sebesar 3,68% dari tahun 2017.</v>
      </c>
      <c r="D905" s="407"/>
      <c r="E905" s="407"/>
      <c r="F905" s="407"/>
      <c r="G905" s="407"/>
      <c r="H905" s="407"/>
      <c r="I905" s="407"/>
      <c r="J905" s="407"/>
      <c r="K905" s="407"/>
      <c r="L905" s="407"/>
      <c r="M905" s="407"/>
      <c r="N905" s="407"/>
      <c r="O905" s="407"/>
      <c r="P905" s="407"/>
      <c r="Q905" s="407"/>
      <c r="R905" s="407"/>
      <c r="S905" s="407"/>
      <c r="T905" s="407"/>
      <c r="U905" s="407"/>
      <c r="V905" s="23"/>
    </row>
    <row r="906" spans="1:32" s="16" customFormat="1" ht="15.75" customHeight="1" x14ac:dyDescent="0.2">
      <c r="A906" s="11"/>
      <c r="B906" s="165"/>
      <c r="C906" s="407" t="str">
        <f>"Dengan mutasi  selama tahun "&amp;'[1]2.ISIAN DATA SKPD'!D11&amp;" sebagai berikut :"</f>
        <v>Dengan mutasi  selama tahun 2018 sebagai berikut :</v>
      </c>
      <c r="D906" s="407"/>
      <c r="E906" s="407"/>
      <c r="F906" s="407"/>
      <c r="G906" s="407"/>
      <c r="H906" s="407"/>
      <c r="I906" s="407"/>
      <c r="J906" s="407"/>
      <c r="K906" s="407"/>
      <c r="L906" s="407"/>
      <c r="M906" s="407"/>
      <c r="N906" s="407"/>
      <c r="O906" s="407"/>
      <c r="P906" s="407"/>
      <c r="Q906" s="407"/>
      <c r="R906" s="407"/>
      <c r="S906" s="407"/>
      <c r="T906" s="407"/>
      <c r="U906" s="407"/>
      <c r="V906" s="23"/>
    </row>
    <row r="907" spans="1:32" s="16" customFormat="1" ht="15.75" customHeight="1" x14ac:dyDescent="0.2">
      <c r="A907" s="567" t="s">
        <v>125</v>
      </c>
      <c r="B907" s="562" t="s">
        <v>443</v>
      </c>
      <c r="C907" s="562"/>
      <c r="D907" s="562"/>
      <c r="E907" s="562"/>
      <c r="F907" s="572" t="s">
        <v>444</v>
      </c>
      <c r="G907" s="572"/>
      <c r="H907" s="572"/>
      <c r="I907" s="572"/>
      <c r="J907" s="572"/>
      <c r="K907" s="572"/>
      <c r="L907" s="572" t="s">
        <v>445</v>
      </c>
      <c r="M907" s="572"/>
      <c r="N907" s="572"/>
      <c r="O907" s="572"/>
      <c r="P907" s="572"/>
      <c r="Q907" s="572"/>
      <c r="R907" s="562" t="s">
        <v>446</v>
      </c>
      <c r="S907" s="562"/>
      <c r="T907" s="562"/>
      <c r="U907" s="562"/>
      <c r="V907" s="23"/>
    </row>
    <row r="908" spans="1:32" s="16" customFormat="1" ht="15.75" customHeight="1" x14ac:dyDescent="0.2">
      <c r="A908" s="568"/>
      <c r="B908" s="564">
        <f>B896</f>
        <v>2017</v>
      </c>
      <c r="C908" s="565"/>
      <c r="D908" s="565"/>
      <c r="E908" s="566"/>
      <c r="F908" s="569" t="s">
        <v>447</v>
      </c>
      <c r="G908" s="570"/>
      <c r="H908" s="571"/>
      <c r="I908" s="789" t="s">
        <v>448</v>
      </c>
      <c r="J908" s="790"/>
      <c r="K908" s="791"/>
      <c r="L908" s="569" t="s">
        <v>447</v>
      </c>
      <c r="M908" s="570"/>
      <c r="N908" s="571"/>
      <c r="O908" s="786" t="s">
        <v>448</v>
      </c>
      <c r="P908" s="787"/>
      <c r="Q908" s="788"/>
      <c r="R908" s="713">
        <f>R896</f>
        <v>2018</v>
      </c>
      <c r="S908" s="714"/>
      <c r="T908" s="714"/>
      <c r="U908" s="715"/>
      <c r="V908" s="780"/>
      <c r="W908" s="781"/>
      <c r="X908" s="782"/>
      <c r="Y908" s="783" t="s">
        <v>449</v>
      </c>
      <c r="Z908" s="781"/>
      <c r="AA908" s="781"/>
      <c r="AB908" s="782"/>
      <c r="AC908" s="784" t="s">
        <v>438</v>
      </c>
      <c r="AD908" s="785"/>
      <c r="AE908" s="785"/>
      <c r="AF908" s="785"/>
    </row>
    <row r="909" spans="1:32" s="16" customFormat="1" ht="18" customHeight="1" x14ac:dyDescent="0.2">
      <c r="A909" s="200" t="str">
        <f>C904</f>
        <v>Alat  Kantor</v>
      </c>
      <c r="B909" s="766">
        <f>'[1]4.NERACA'!D82</f>
        <v>379721850</v>
      </c>
      <c r="C909" s="767"/>
      <c r="D909" s="767"/>
      <c r="E909" s="768"/>
      <c r="F909" s="766">
        <f>'[1]4.NERACA'!E82</f>
        <v>6400000</v>
      </c>
      <c r="G909" s="767"/>
      <c r="H909" s="768"/>
      <c r="I909" s="769">
        <f>'[1]4.NERACA'!F82</f>
        <v>51280910</v>
      </c>
      <c r="J909" s="770"/>
      <c r="K909" s="771"/>
      <c r="L909" s="773">
        <f>'[1]4.NERACA'!G82</f>
        <v>58846000</v>
      </c>
      <c r="M909" s="774"/>
      <c r="N909" s="775"/>
      <c r="O909" s="766">
        <f>'[1]4.NERACA'!H82</f>
        <v>0</v>
      </c>
      <c r="P909" s="767"/>
      <c r="Q909" s="768"/>
      <c r="R909" s="772">
        <f>B909+F909-I909+L909-O909</f>
        <v>393686940</v>
      </c>
      <c r="S909" s="772"/>
      <c r="T909" s="772"/>
      <c r="U909" s="772"/>
      <c r="V909" s="776"/>
      <c r="W909" s="596"/>
      <c r="X909" s="777"/>
      <c r="Y909" s="778">
        <f>(R909-B909)/B909*100</f>
        <v>3.6777156753028568</v>
      </c>
      <c r="Z909" s="596"/>
      <c r="AA909" s="596"/>
      <c r="AB909" s="777"/>
      <c r="AC909" s="593">
        <f>R909-B909</f>
        <v>13965090</v>
      </c>
      <c r="AD909" s="594"/>
      <c r="AE909" s="594"/>
      <c r="AF909" s="779"/>
    </row>
    <row r="910" spans="1:32" s="16" customFormat="1" ht="22.5" customHeight="1" x14ac:dyDescent="0.2">
      <c r="A910" s="11"/>
      <c r="B910" s="669" t="s">
        <v>461</v>
      </c>
      <c r="C910" s="669"/>
      <c r="D910" s="669"/>
      <c r="E910" s="669"/>
      <c r="F910" s="669"/>
      <c r="G910" s="669"/>
      <c r="H910" s="669"/>
      <c r="I910" s="669"/>
      <c r="J910" s="669"/>
      <c r="K910" s="669"/>
      <c r="L910" s="669"/>
      <c r="M910" s="669"/>
      <c r="N910" s="669"/>
      <c r="O910" s="669"/>
      <c r="P910" s="669"/>
      <c r="Q910" s="669"/>
      <c r="R910" s="669"/>
      <c r="S910" s="669"/>
      <c r="T910" s="669"/>
      <c r="U910" s="669"/>
      <c r="V910" s="595"/>
      <c r="W910" s="596"/>
      <c r="X910" s="596"/>
      <c r="Y910" s="597"/>
      <c r="Z910" s="596"/>
      <c r="AA910" s="596"/>
      <c r="AB910" s="596"/>
      <c r="AC910" s="597"/>
      <c r="AD910" s="598"/>
      <c r="AE910" s="598"/>
      <c r="AF910" s="598"/>
    </row>
    <row r="911" spans="1:32" s="16" customFormat="1" ht="22.5" customHeight="1" x14ac:dyDescent="0.2">
      <c r="A911" s="11"/>
      <c r="B911" s="125"/>
      <c r="C911" s="408" t="s">
        <v>462</v>
      </c>
      <c r="D911" s="408"/>
      <c r="E911" s="408"/>
      <c r="F911" s="408"/>
      <c r="G911" s="408"/>
      <c r="H911" s="408"/>
      <c r="I911" s="408"/>
      <c r="J911" s="408"/>
      <c r="K911" s="408"/>
      <c r="L911" s="408"/>
      <c r="M911" s="408"/>
      <c r="N911" s="408"/>
      <c r="O911" s="408"/>
      <c r="P911" s="408"/>
      <c r="Q911" s="408"/>
      <c r="R911" s="408"/>
      <c r="S911" s="408"/>
      <c r="T911" s="408"/>
      <c r="U911" s="408"/>
      <c r="V911" s="23"/>
    </row>
    <row r="912" spans="1:32" s="16" customFormat="1" ht="47.25" customHeight="1" x14ac:dyDescent="0.2">
      <c r="A912" s="11"/>
      <c r="B912" s="125"/>
      <c r="C912" s="408" t="str">
        <f>"Mutasi Debet sebesar Rp. "&amp;FIXED(F909+L909)&amp;" adalah hasil pengadaan barang tahun "&amp;'[1]2.ISIAN DATA SKPD'!D11&amp;" dari penambahan belanja barjas (belanja Pihak ketiga"</f>
        <v>Mutasi Debet sebesar Rp. 65.246.000,00 adalah hasil pengadaan barang tahun 2018 dari penambahan belanja barjas (belanja Pihak ketiga</v>
      </c>
      <c r="D912" s="408"/>
      <c r="E912" s="408"/>
      <c r="F912" s="408"/>
      <c r="G912" s="408"/>
      <c r="H912" s="408"/>
      <c r="I912" s="408"/>
      <c r="J912" s="408"/>
      <c r="K912" s="408"/>
      <c r="L912" s="408"/>
      <c r="M912" s="408"/>
      <c r="N912" s="408"/>
      <c r="O912" s="408"/>
      <c r="P912" s="408"/>
      <c r="Q912" s="408"/>
      <c r="R912" s="408"/>
      <c r="S912" s="408"/>
      <c r="T912" s="408"/>
      <c r="U912" s="408"/>
      <c r="V912" s="23"/>
    </row>
    <row r="913" spans="1:32" s="16" customFormat="1" ht="8.25" customHeight="1" x14ac:dyDescent="0.2">
      <c r="A913" s="11"/>
      <c r="B913" s="125"/>
      <c r="C913" s="37"/>
      <c r="D913" s="37"/>
      <c r="E913" s="37"/>
      <c r="F913" s="37"/>
      <c r="G913" s="37"/>
      <c r="H913" s="37"/>
      <c r="I913" s="37"/>
      <c r="J913" s="37"/>
      <c r="K913" s="37"/>
      <c r="L913" s="37"/>
      <c r="M913" s="37"/>
      <c r="N913" s="37"/>
      <c r="O913" s="37"/>
      <c r="P913" s="37"/>
      <c r="Q913" s="37"/>
      <c r="R913" s="37"/>
      <c r="S913" s="37"/>
      <c r="T913" s="37"/>
      <c r="U913" s="37"/>
      <c r="V913" s="23"/>
    </row>
    <row r="914" spans="1:32" s="16" customFormat="1" ht="15.75" customHeight="1" x14ac:dyDescent="0.2">
      <c r="A914" s="11"/>
      <c r="B914" s="125"/>
      <c r="C914" s="408" t="s">
        <v>463</v>
      </c>
      <c r="D914" s="408"/>
      <c r="E914" s="408"/>
      <c r="F914" s="408"/>
      <c r="G914" s="408"/>
      <c r="H914" s="408"/>
      <c r="I914" s="408"/>
      <c r="J914" s="408"/>
      <c r="K914" s="408"/>
      <c r="L914" s="408"/>
      <c r="M914" s="408"/>
      <c r="N914" s="408"/>
      <c r="O914" s="408"/>
      <c r="P914" s="408"/>
      <c r="Q914" s="408"/>
      <c r="R914" s="408"/>
      <c r="S914" s="408"/>
      <c r="T914" s="408"/>
      <c r="U914" s="408"/>
      <c r="V914" s="23"/>
    </row>
    <row r="915" spans="1:32" s="16" customFormat="1" ht="20.25" customHeight="1" x14ac:dyDescent="0.2">
      <c r="A915" s="11"/>
      <c r="B915" s="125"/>
      <c r="C915" s="408" t="str">
        <f>"Mutasi Kredit Rp. "&amp;FIXED(I909+O909)&amp;". "</f>
        <v xml:space="preserve">Mutasi Kredit Rp. 51.280.910,00. </v>
      </c>
      <c r="D915" s="408"/>
      <c r="E915" s="408"/>
      <c r="F915" s="408"/>
      <c r="G915" s="408"/>
      <c r="H915" s="408"/>
      <c r="I915" s="408"/>
      <c r="J915" s="408"/>
      <c r="K915" s="408"/>
      <c r="L915" s="408"/>
      <c r="M915" s="408"/>
      <c r="N915" s="408"/>
      <c r="O915" s="408"/>
      <c r="P915" s="408"/>
      <c r="Q915" s="408"/>
      <c r="R915" s="408"/>
      <c r="S915" s="408"/>
      <c r="T915" s="408"/>
      <c r="U915" s="408"/>
      <c r="V915" s="23"/>
    </row>
    <row r="916" spans="1:32" s="16" customFormat="1" ht="8.25" hidden="1" customHeight="1" x14ac:dyDescent="0.2">
      <c r="A916" s="33"/>
      <c r="C916" s="35"/>
      <c r="D916" s="35"/>
      <c r="E916" s="35"/>
      <c r="F916" s="35"/>
      <c r="G916" s="35"/>
      <c r="H916" s="35"/>
      <c r="I916" s="35"/>
      <c r="J916" s="35"/>
      <c r="K916" s="35"/>
      <c r="L916" s="35"/>
      <c r="M916" s="35"/>
      <c r="N916" s="35"/>
      <c r="O916" s="35"/>
      <c r="P916" s="35"/>
      <c r="Q916" s="35"/>
      <c r="R916" s="35"/>
      <c r="S916" s="35"/>
      <c r="T916" s="35"/>
      <c r="U916" s="35"/>
      <c r="V916" s="23"/>
    </row>
    <row r="917" spans="1:32" s="16" customFormat="1" ht="22.5" customHeight="1" x14ac:dyDescent="0.2">
      <c r="A917" s="11"/>
      <c r="B917" s="202" t="s">
        <v>467</v>
      </c>
      <c r="C917" s="402" t="s">
        <v>468</v>
      </c>
      <c r="D917" s="402"/>
      <c r="E917" s="402"/>
      <c r="F917" s="402"/>
      <c r="G917" s="402"/>
      <c r="H917" s="402"/>
      <c r="I917" s="402"/>
      <c r="J917" s="402"/>
      <c r="K917" s="402"/>
      <c r="L917" s="402"/>
      <c r="M917" s="402"/>
      <c r="N917" s="402"/>
      <c r="O917" s="402"/>
      <c r="P917" s="402"/>
      <c r="Q917" s="402"/>
      <c r="R917" s="402"/>
      <c r="S917" s="402"/>
      <c r="T917" s="402"/>
      <c r="U917" s="402"/>
      <c r="V917" s="23"/>
    </row>
    <row r="918" spans="1:32" s="16" customFormat="1" ht="69.75" customHeight="1" x14ac:dyDescent="0.2">
      <c r="A918" s="11"/>
      <c r="C918" s="407" t="str">
        <f>"Nilai aset tetap berupa alat rumah tangga  per "&amp;'[1]2.ISIAN DATA SKPD'!D8&amp;" dan  "&amp;'[1]2.ISIAN DATA SKPD'!D12&amp;" adalah sebesar Rp. "&amp;FIXED(R922)&amp;" dan Rp. "&amp;FIXED(B922)&amp;" mengalami kenaikan sebesar Rp. "&amp;FIXED(AC922)&amp;" atau sebesar "&amp;FIXED(Y922)&amp;"%  dari tahun "&amp;'[1]2.ISIAN DATA SKPD'!D12&amp;"."</f>
        <v>Nilai aset tetap berupa alat rumah tangga  per 31 Desember 2018 dan  2017 adalah sebesar Rp. 379.235.992,00 dan Rp. 296.629.537,00 mengalami kenaikan sebesar Rp. 82.606.455,00 atau sebesar 27,85%  dari tahun 2017.</v>
      </c>
      <c r="D918" s="407"/>
      <c r="E918" s="407"/>
      <c r="F918" s="407"/>
      <c r="G918" s="407"/>
      <c r="H918" s="407"/>
      <c r="I918" s="407"/>
      <c r="J918" s="407"/>
      <c r="K918" s="407"/>
      <c r="L918" s="407"/>
      <c r="M918" s="407"/>
      <c r="N918" s="407"/>
      <c r="O918" s="407"/>
      <c r="P918" s="407"/>
      <c r="Q918" s="407"/>
      <c r="R918" s="407"/>
      <c r="S918" s="407"/>
      <c r="T918" s="407"/>
      <c r="U918" s="407"/>
      <c r="V918" s="23"/>
    </row>
    <row r="919" spans="1:32" s="16" customFormat="1" ht="21" customHeight="1" x14ac:dyDescent="0.2">
      <c r="A919" s="11"/>
      <c r="B919" s="165"/>
      <c r="C919" s="407" t="str">
        <f>"Dengan mutasi  selama tahun "&amp;'[1]2.ISIAN DATA SKPD'!D71&amp;" sebagai berikut :"</f>
        <v>Dengan mutasi  selama tahun  sebagai berikut :</v>
      </c>
      <c r="D919" s="407"/>
      <c r="E919" s="407"/>
      <c r="F919" s="407"/>
      <c r="G919" s="407"/>
      <c r="H919" s="407"/>
      <c r="I919" s="407"/>
      <c r="J919" s="407"/>
      <c r="K919" s="407"/>
      <c r="L919" s="407"/>
      <c r="M919" s="407"/>
      <c r="N919" s="407"/>
      <c r="O919" s="407"/>
      <c r="P919" s="407"/>
      <c r="Q919" s="407"/>
      <c r="R919" s="407"/>
      <c r="S919" s="407"/>
      <c r="T919" s="407"/>
      <c r="U919" s="407"/>
      <c r="V919" s="23"/>
    </row>
    <row r="920" spans="1:32" s="16" customFormat="1" ht="15.75" customHeight="1" x14ac:dyDescent="0.2">
      <c r="A920" s="567" t="s">
        <v>125</v>
      </c>
      <c r="B920" s="600" t="s">
        <v>443</v>
      </c>
      <c r="C920" s="600"/>
      <c r="D920" s="600"/>
      <c r="E920" s="600"/>
      <c r="F920" s="605" t="s">
        <v>444</v>
      </c>
      <c r="G920" s="605"/>
      <c r="H920" s="605"/>
      <c r="I920" s="605"/>
      <c r="J920" s="605"/>
      <c r="K920" s="605"/>
      <c r="L920" s="605" t="s">
        <v>445</v>
      </c>
      <c r="M920" s="605"/>
      <c r="N920" s="605"/>
      <c r="O920" s="605"/>
      <c r="P920" s="605"/>
      <c r="Q920" s="605"/>
      <c r="R920" s="600" t="s">
        <v>446</v>
      </c>
      <c r="S920" s="600"/>
      <c r="T920" s="600"/>
      <c r="U920" s="600"/>
      <c r="V920" s="23"/>
    </row>
    <row r="921" spans="1:32" s="16" customFormat="1" ht="15.75" customHeight="1" x14ac:dyDescent="0.2">
      <c r="A921" s="568"/>
      <c r="B921" s="732">
        <f>B908</f>
        <v>2017</v>
      </c>
      <c r="C921" s="600"/>
      <c r="D921" s="600"/>
      <c r="E921" s="600"/>
      <c r="F921" s="600" t="s">
        <v>447</v>
      </c>
      <c r="G921" s="600"/>
      <c r="H921" s="600"/>
      <c r="I921" s="599" t="s">
        <v>448</v>
      </c>
      <c r="J921" s="599"/>
      <c r="K921" s="599"/>
      <c r="L921" s="600" t="s">
        <v>447</v>
      </c>
      <c r="M921" s="600"/>
      <c r="N921" s="600"/>
      <c r="O921" s="601" t="s">
        <v>448</v>
      </c>
      <c r="P921" s="601"/>
      <c r="Q921" s="601"/>
      <c r="R921" s="713">
        <f>R908</f>
        <v>2018</v>
      </c>
      <c r="S921" s="714"/>
      <c r="T921" s="714"/>
      <c r="U921" s="715"/>
      <c r="V921" s="780"/>
      <c r="W921" s="781"/>
      <c r="X921" s="782"/>
      <c r="Y921" s="783" t="s">
        <v>449</v>
      </c>
      <c r="Z921" s="781"/>
      <c r="AA921" s="781"/>
      <c r="AB921" s="782"/>
      <c r="AC921" s="784" t="s">
        <v>438</v>
      </c>
      <c r="AD921" s="785"/>
      <c r="AE921" s="785"/>
      <c r="AF921" s="785"/>
    </row>
    <row r="922" spans="1:32" s="16" customFormat="1" ht="29.25" customHeight="1" x14ac:dyDescent="0.2">
      <c r="A922" s="200" t="str">
        <f>C917</f>
        <v>Alat  Rumah Tangga</v>
      </c>
      <c r="B922" s="766">
        <f>'[1]4.NERACA'!D83</f>
        <v>296629537.00040001</v>
      </c>
      <c r="C922" s="767"/>
      <c r="D922" s="767"/>
      <c r="E922" s="767"/>
      <c r="F922" s="766">
        <f>'[1]4.NERACA'!E83</f>
        <v>82606455</v>
      </c>
      <c r="G922" s="767"/>
      <c r="H922" s="768"/>
      <c r="I922" s="769">
        <f>'[1]4.NERACA'!F83</f>
        <v>0</v>
      </c>
      <c r="J922" s="770"/>
      <c r="K922" s="771"/>
      <c r="L922" s="773">
        <f>'[1]4.NERACA'!G83</f>
        <v>0</v>
      </c>
      <c r="M922" s="774"/>
      <c r="N922" s="775"/>
      <c r="O922" s="766">
        <f>'[1]4.NERACA'!H83</f>
        <v>0</v>
      </c>
      <c r="P922" s="767"/>
      <c r="Q922" s="768"/>
      <c r="R922" s="772">
        <f>B922+F922-I922+L922-O922</f>
        <v>379235992.00040001</v>
      </c>
      <c r="S922" s="772"/>
      <c r="T922" s="772"/>
      <c r="U922" s="772"/>
      <c r="V922" s="776"/>
      <c r="W922" s="596"/>
      <c r="X922" s="777"/>
      <c r="Y922" s="778">
        <f>(R922-B922)/B922*100</f>
        <v>27.848357865956082</v>
      </c>
      <c r="Z922" s="596"/>
      <c r="AA922" s="596"/>
      <c r="AB922" s="777"/>
      <c r="AC922" s="593">
        <f>R922-B922</f>
        <v>82606455</v>
      </c>
      <c r="AD922" s="594"/>
      <c r="AE922" s="594"/>
      <c r="AF922" s="779"/>
    </row>
    <row r="923" spans="1:32" s="16" customFormat="1" ht="22.5" customHeight="1" x14ac:dyDescent="0.2">
      <c r="A923" s="11"/>
      <c r="B923" s="408" t="s">
        <v>461</v>
      </c>
      <c r="C923" s="408"/>
      <c r="D923" s="408"/>
      <c r="E923" s="408"/>
      <c r="F923" s="408"/>
      <c r="G923" s="408"/>
      <c r="H923" s="408"/>
      <c r="I923" s="408"/>
      <c r="J923" s="408"/>
      <c r="K923" s="408"/>
      <c r="L923" s="408"/>
      <c r="M923" s="408"/>
      <c r="N923" s="408"/>
      <c r="O923" s="408"/>
      <c r="P923" s="408"/>
      <c r="Q923" s="408"/>
      <c r="R923" s="408"/>
      <c r="S923" s="408"/>
      <c r="T923" s="408"/>
      <c r="U923" s="408"/>
      <c r="V923" s="23"/>
    </row>
    <row r="924" spans="1:32" s="16" customFormat="1" ht="22.5" customHeight="1" x14ac:dyDescent="0.2">
      <c r="A924" s="11"/>
      <c r="B924" s="125"/>
      <c r="C924" s="408" t="s">
        <v>462</v>
      </c>
      <c r="D924" s="408"/>
      <c r="E924" s="408"/>
      <c r="F924" s="408"/>
      <c r="G924" s="408"/>
      <c r="H924" s="408"/>
      <c r="I924" s="408"/>
      <c r="J924" s="408"/>
      <c r="K924" s="408"/>
      <c r="L924" s="408"/>
      <c r="M924" s="408"/>
      <c r="N924" s="408"/>
      <c r="O924" s="408"/>
      <c r="P924" s="408"/>
      <c r="Q924" s="408"/>
      <c r="R924" s="408"/>
      <c r="S924" s="408"/>
      <c r="T924" s="408"/>
      <c r="U924" s="408"/>
      <c r="V924" s="23"/>
    </row>
    <row r="925" spans="1:32" s="16" customFormat="1" ht="63" customHeight="1" x14ac:dyDescent="0.2">
      <c r="A925" s="11"/>
      <c r="B925" s="125"/>
      <c r="C925" s="408" t="str">
        <f>"Mutasi Debet sebesar Rp. "&amp;FIXED(F922+L922)&amp;" adalah hasil pengadaan barang tahun "&amp;'[1]2.ISIAN DATA SKPD'!D11&amp;" dari belanja modal berupa Peralatan dan Mesin Pengadaan Alat Pembersih dan Penambahan dari belanja barjas (belanja pihak ketiga"</f>
        <v>Mutasi Debet sebesar Rp. 82.606.455,00 adalah hasil pengadaan barang tahun 2018 dari belanja modal berupa Peralatan dan Mesin Pengadaan Alat Pembersih dan Penambahan dari belanja barjas (belanja pihak ketiga</v>
      </c>
      <c r="D925" s="408"/>
      <c r="E925" s="408"/>
      <c r="F925" s="408"/>
      <c r="G925" s="408"/>
      <c r="H925" s="408"/>
      <c r="I925" s="408"/>
      <c r="J925" s="408"/>
      <c r="K925" s="408"/>
      <c r="L925" s="408"/>
      <c r="M925" s="408"/>
      <c r="N925" s="408"/>
      <c r="O925" s="408"/>
      <c r="P925" s="408"/>
      <c r="Q925" s="408"/>
      <c r="R925" s="408"/>
      <c r="S925" s="408"/>
      <c r="T925" s="408"/>
      <c r="U925" s="408"/>
      <c r="V925" s="23"/>
    </row>
    <row r="926" spans="1:32" s="16" customFormat="1" ht="22.5" customHeight="1" x14ac:dyDescent="0.2">
      <c r="A926" s="11"/>
      <c r="B926" s="125"/>
      <c r="C926" s="408" t="s">
        <v>463</v>
      </c>
      <c r="D926" s="408"/>
      <c r="E926" s="408"/>
      <c r="F926" s="408"/>
      <c r="G926" s="408"/>
      <c r="H926" s="408"/>
      <c r="I926" s="408"/>
      <c r="J926" s="408"/>
      <c r="K926" s="408"/>
      <c r="L926" s="408"/>
      <c r="M926" s="408"/>
      <c r="N926" s="408"/>
      <c r="O926" s="408"/>
      <c r="P926" s="408"/>
      <c r="Q926" s="408"/>
      <c r="R926" s="408"/>
      <c r="S926" s="408"/>
      <c r="T926" s="408"/>
      <c r="U926" s="408"/>
      <c r="V926" s="23"/>
    </row>
    <row r="927" spans="1:32" s="16" customFormat="1" ht="22.5" customHeight="1" x14ac:dyDescent="0.2">
      <c r="A927" s="11"/>
      <c r="B927" s="125"/>
      <c r="C927" s="408" t="str">
        <f>"Mutasi Kredit Rp. "&amp;FIXED(I922+O922)&amp;"."</f>
        <v>Mutasi Kredit Rp. 0,00.</v>
      </c>
      <c r="D927" s="408"/>
      <c r="E927" s="408"/>
      <c r="F927" s="408"/>
      <c r="G927" s="408"/>
      <c r="H927" s="408"/>
      <c r="I927" s="408"/>
      <c r="J927" s="408"/>
      <c r="K927" s="408"/>
      <c r="L927" s="408"/>
      <c r="M927" s="408"/>
      <c r="N927" s="408"/>
      <c r="O927" s="408"/>
      <c r="P927" s="408"/>
      <c r="Q927" s="408"/>
      <c r="R927" s="408"/>
      <c r="S927" s="408"/>
      <c r="T927" s="408"/>
      <c r="U927" s="408"/>
      <c r="V927" s="23"/>
    </row>
    <row r="928" spans="1:32" s="16" customFormat="1" ht="9.75" customHeight="1" x14ac:dyDescent="0.2">
      <c r="A928" s="11"/>
      <c r="B928" s="63"/>
      <c r="C928" s="64"/>
      <c r="D928" s="64"/>
      <c r="E928" s="64"/>
      <c r="F928" s="64"/>
      <c r="G928" s="64"/>
      <c r="H928" s="64"/>
      <c r="I928" s="64"/>
      <c r="J928" s="64"/>
      <c r="K928" s="64"/>
      <c r="L928" s="64"/>
      <c r="M928" s="64"/>
      <c r="N928" s="64"/>
      <c r="O928" s="64"/>
      <c r="P928" s="64"/>
      <c r="Q928" s="208"/>
      <c r="R928" s="208"/>
      <c r="S928" s="208"/>
      <c r="T928" s="208"/>
      <c r="U928" s="208"/>
      <c r="V928" s="23"/>
    </row>
    <row r="929" spans="1:32" s="16" customFormat="1" ht="22.5" customHeight="1" x14ac:dyDescent="0.2">
      <c r="A929" s="11"/>
      <c r="B929" s="202" t="s">
        <v>469</v>
      </c>
      <c r="C929" s="402" t="s">
        <v>470</v>
      </c>
      <c r="D929" s="402"/>
      <c r="E929" s="402"/>
      <c r="F929" s="402"/>
      <c r="G929" s="402"/>
      <c r="H929" s="402"/>
      <c r="I929" s="402"/>
      <c r="J929" s="402"/>
      <c r="K929" s="402"/>
      <c r="L929" s="402"/>
      <c r="M929" s="402"/>
      <c r="N929" s="402"/>
      <c r="O929" s="402"/>
      <c r="P929" s="402"/>
      <c r="Q929" s="402"/>
      <c r="R929" s="402"/>
      <c r="S929" s="402"/>
      <c r="T929" s="402"/>
      <c r="U929" s="402"/>
      <c r="V929" s="23"/>
    </row>
    <row r="930" spans="1:32" s="16" customFormat="1" ht="63" customHeight="1" x14ac:dyDescent="0.2">
      <c r="A930" s="11"/>
      <c r="C930" s="407" t="str">
        <f>"Nilai aset tetap berupa alat komputer  per "&amp;'[1]2.ISIAN DATA SKPD'!D8&amp;" dan  "&amp;'[1]2.ISIAN DATA SKPD'!D12&amp;" adalah sebesar Rp. "&amp;FIXED(R936)&amp;" dan Rp. "&amp;FIXED(B936)&amp;" mengalami kenaikan sebesar Rp. "&amp;FIXED(AC936)&amp;" atau sebesar "&amp;FIXED(Y936)&amp;"% dari tahun "&amp;'[1]2.ISIAN DATA SKPD'!D12&amp;"."</f>
        <v>Nilai aset tetap berupa alat komputer  per 31 Desember 2018 dan  2017 adalah sebesar Rp. 284.315.672,00 dan Rp. 196.968.672,00 mengalami kenaikan sebesar Rp. 87.347.000,00 atau sebesar 44,35% dari tahun 2017.</v>
      </c>
      <c r="D930" s="407"/>
      <c r="E930" s="407"/>
      <c r="F930" s="407"/>
      <c r="G930" s="407"/>
      <c r="H930" s="407"/>
      <c r="I930" s="407"/>
      <c r="J930" s="407"/>
      <c r="K930" s="407"/>
      <c r="L930" s="407"/>
      <c r="M930" s="407"/>
      <c r="N930" s="407"/>
      <c r="O930" s="407"/>
      <c r="P930" s="407"/>
      <c r="Q930" s="407"/>
      <c r="R930" s="407"/>
      <c r="S930" s="407"/>
      <c r="T930" s="407"/>
      <c r="U930" s="407"/>
      <c r="V930" s="23"/>
    </row>
    <row r="931" spans="1:32" s="16" customFormat="1" ht="18" customHeight="1" x14ac:dyDescent="0.2">
      <c r="A931" s="11"/>
      <c r="C931" s="77"/>
      <c r="D931" s="77"/>
      <c r="E931" s="77"/>
      <c r="F931" s="77"/>
      <c r="G931" s="77"/>
      <c r="H931" s="77"/>
      <c r="I931" s="77"/>
      <c r="J931" s="77"/>
      <c r="K931" s="77"/>
      <c r="L931" s="77"/>
      <c r="M931" s="77"/>
      <c r="N931" s="77"/>
      <c r="O931" s="77"/>
      <c r="P931" s="77"/>
      <c r="Q931" s="77"/>
      <c r="R931" s="77"/>
      <c r="S931" s="77"/>
      <c r="T931" s="77"/>
      <c r="U931" s="77"/>
      <c r="V931" s="23"/>
    </row>
    <row r="932" spans="1:32" s="16" customFormat="1" ht="23.25" customHeight="1" x14ac:dyDescent="0.2">
      <c r="A932" s="11"/>
      <c r="C932" s="77"/>
      <c r="D932" s="77"/>
      <c r="E932" s="77"/>
      <c r="F932" s="77"/>
      <c r="G932" s="77"/>
      <c r="H932" s="77"/>
      <c r="I932" s="77"/>
      <c r="J932" s="77"/>
      <c r="K932" s="77"/>
      <c r="L932" s="77"/>
      <c r="M932" s="77"/>
      <c r="N932" s="77"/>
      <c r="O932" s="77"/>
      <c r="P932" s="77"/>
      <c r="Q932" s="77"/>
      <c r="R932" s="77"/>
      <c r="S932" s="77"/>
      <c r="T932" s="77"/>
      <c r="U932" s="77"/>
      <c r="V932" s="23"/>
    </row>
    <row r="933" spans="1:32" s="16" customFormat="1" ht="18.75" customHeight="1" x14ac:dyDescent="0.2">
      <c r="A933" s="11"/>
      <c r="B933" s="77"/>
      <c r="C933" s="407" t="str">
        <f>"Dengan mutasi  selama tahun "&amp;'[1]2.ISIAN DATA SKPD'!D11&amp;" sebagai berikut :"</f>
        <v>Dengan mutasi  selama tahun 2018 sebagai berikut :</v>
      </c>
      <c r="D933" s="407"/>
      <c r="E933" s="407"/>
      <c r="F933" s="407"/>
      <c r="G933" s="407"/>
      <c r="H933" s="407"/>
      <c r="I933" s="407"/>
      <c r="J933" s="407"/>
      <c r="K933" s="407"/>
      <c r="L933" s="407"/>
      <c r="M933" s="407"/>
      <c r="N933" s="407"/>
      <c r="O933" s="407"/>
      <c r="P933" s="407"/>
      <c r="Q933" s="407"/>
      <c r="R933" s="407"/>
      <c r="S933" s="407"/>
      <c r="T933" s="407"/>
      <c r="U933" s="407"/>
      <c r="V933" s="23"/>
    </row>
    <row r="934" spans="1:32" s="16" customFormat="1" ht="15.75" customHeight="1" x14ac:dyDescent="0.2">
      <c r="A934" s="567" t="s">
        <v>125</v>
      </c>
      <c r="B934" s="562" t="s">
        <v>443</v>
      </c>
      <c r="C934" s="562"/>
      <c r="D934" s="562"/>
      <c r="E934" s="562"/>
      <c r="F934" s="572" t="s">
        <v>444</v>
      </c>
      <c r="G934" s="572"/>
      <c r="H934" s="572"/>
      <c r="I934" s="572"/>
      <c r="J934" s="572"/>
      <c r="K934" s="572"/>
      <c r="L934" s="572" t="s">
        <v>445</v>
      </c>
      <c r="M934" s="572"/>
      <c r="N934" s="572"/>
      <c r="O934" s="572"/>
      <c r="P934" s="572"/>
      <c r="Q934" s="572"/>
      <c r="R934" s="562" t="s">
        <v>446</v>
      </c>
      <c r="S934" s="562"/>
      <c r="T934" s="562"/>
      <c r="U934" s="562"/>
      <c r="V934" s="23"/>
    </row>
    <row r="935" spans="1:32" s="16" customFormat="1" ht="15.75" customHeight="1" x14ac:dyDescent="0.2">
      <c r="A935" s="568"/>
      <c r="B935" s="764">
        <f>B921</f>
        <v>2017</v>
      </c>
      <c r="C935" s="562"/>
      <c r="D935" s="562"/>
      <c r="E935" s="562"/>
      <c r="F935" s="562" t="s">
        <v>447</v>
      </c>
      <c r="G935" s="562"/>
      <c r="H935" s="562"/>
      <c r="I935" s="573" t="s">
        <v>448</v>
      </c>
      <c r="J935" s="573"/>
      <c r="K935" s="573"/>
      <c r="L935" s="562" t="s">
        <v>447</v>
      </c>
      <c r="M935" s="562"/>
      <c r="N935" s="562"/>
      <c r="O935" s="563" t="s">
        <v>448</v>
      </c>
      <c r="P935" s="563"/>
      <c r="Q935" s="563"/>
      <c r="R935" s="713">
        <f>R921</f>
        <v>2018</v>
      </c>
      <c r="S935" s="714"/>
      <c r="T935" s="714"/>
      <c r="U935" s="715"/>
      <c r="V935" s="487"/>
      <c r="W935" s="480"/>
      <c r="X935" s="480"/>
      <c r="Y935" s="471" t="s">
        <v>449</v>
      </c>
      <c r="Z935" s="480"/>
      <c r="AA935" s="480"/>
      <c r="AB935" s="480"/>
      <c r="AC935" s="488" t="s">
        <v>438</v>
      </c>
      <c r="AD935" s="489"/>
      <c r="AE935" s="489"/>
      <c r="AF935" s="489"/>
    </row>
    <row r="936" spans="1:32" s="16" customFormat="1" ht="22.5" customHeight="1" x14ac:dyDescent="0.2">
      <c r="A936" s="209" t="str">
        <f>C929</f>
        <v>Komputer</v>
      </c>
      <c r="B936" s="766">
        <f>'[1]4.NERACA'!D84</f>
        <v>196968672</v>
      </c>
      <c r="C936" s="767"/>
      <c r="D936" s="767"/>
      <c r="E936" s="767"/>
      <c r="F936" s="773">
        <f>'[1]4.NERACA'!E84</f>
        <v>41059789</v>
      </c>
      <c r="G936" s="774"/>
      <c r="H936" s="775"/>
      <c r="I936" s="769">
        <f>'[1]4.NERACA'!F84</f>
        <v>14054789</v>
      </c>
      <c r="J936" s="770"/>
      <c r="K936" s="771"/>
      <c r="L936" s="766">
        <f>'[1]4.NERACA'!G84</f>
        <v>60342000</v>
      </c>
      <c r="M936" s="767"/>
      <c r="N936" s="768"/>
      <c r="O936" s="766">
        <f>'[1]4.NERACA'!H84</f>
        <v>0</v>
      </c>
      <c r="P936" s="767"/>
      <c r="Q936" s="768"/>
      <c r="R936" s="772">
        <f>B936+F936-I936+L936-O936</f>
        <v>284315672</v>
      </c>
      <c r="S936" s="772"/>
      <c r="T936" s="772"/>
      <c r="U936" s="772"/>
      <c r="V936" s="479"/>
      <c r="W936" s="480"/>
      <c r="X936" s="480"/>
      <c r="Y936" s="471">
        <f>(R936-B936)/B936*100</f>
        <v>44.345630761017667</v>
      </c>
      <c r="Z936" s="480"/>
      <c r="AA936" s="480"/>
      <c r="AB936" s="480"/>
      <c r="AC936" s="471">
        <f>R936-B936</f>
        <v>87347000</v>
      </c>
      <c r="AD936" s="472"/>
      <c r="AE936" s="472"/>
      <c r="AF936" s="472"/>
    </row>
    <row r="937" spans="1:32" s="16" customFormat="1" ht="22.5" customHeight="1" x14ac:dyDescent="0.2">
      <c r="A937" s="11"/>
      <c r="B937" s="408" t="s">
        <v>461</v>
      </c>
      <c r="C937" s="408"/>
      <c r="D937" s="408"/>
      <c r="E937" s="408"/>
      <c r="F937" s="408"/>
      <c r="G937" s="408"/>
      <c r="H937" s="408"/>
      <c r="I937" s="408"/>
      <c r="J937" s="408"/>
      <c r="K937" s="408"/>
      <c r="L937" s="408"/>
      <c r="M937" s="408"/>
      <c r="N937" s="408"/>
      <c r="O937" s="408"/>
      <c r="P937" s="408"/>
      <c r="Q937" s="408"/>
      <c r="R937" s="408"/>
      <c r="S937" s="408"/>
      <c r="T937" s="408"/>
      <c r="U937" s="408"/>
      <c r="V937" s="23"/>
    </row>
    <row r="938" spans="1:32" s="16" customFormat="1" ht="22.5" customHeight="1" x14ac:dyDescent="0.2">
      <c r="A938" s="11"/>
      <c r="B938" s="125"/>
      <c r="C938" s="408" t="s">
        <v>462</v>
      </c>
      <c r="D938" s="408"/>
      <c r="E938" s="408"/>
      <c r="F938" s="408"/>
      <c r="G938" s="408"/>
      <c r="H938" s="408"/>
      <c r="I938" s="408"/>
      <c r="J938" s="408"/>
      <c r="K938" s="408"/>
      <c r="L938" s="408"/>
      <c r="M938" s="408"/>
      <c r="N938" s="408"/>
      <c r="O938" s="408"/>
      <c r="P938" s="408"/>
      <c r="Q938" s="408"/>
      <c r="R938" s="408"/>
      <c r="S938" s="408"/>
      <c r="T938" s="408"/>
      <c r="U938" s="408"/>
      <c r="V938" s="23"/>
    </row>
    <row r="939" spans="1:32" s="16" customFormat="1" ht="63" customHeight="1" x14ac:dyDescent="0.2">
      <c r="A939" s="11"/>
      <c r="B939" s="125"/>
      <c r="C939" s="408" t="str">
        <f>"Mutasi Debet sebesar Rp. "&amp;FIXED(F936+L936)&amp;" adalah hasil pengadaan barang tahun "&amp;'[1]2.ISIAN DATA SKPD'!D11&amp;" dari reklas belanja modal berupa gedung dan bangunan pengadaan bangunan gedung tempat kerja lainnya ke komputer (laptop)"</f>
        <v>Mutasi Debet sebesar Rp. 101.401.789,00 adalah hasil pengadaan barang tahun 2018 dari reklas belanja modal berupa gedung dan bangunan pengadaan bangunan gedung tempat kerja lainnya ke komputer (laptop)</v>
      </c>
      <c r="D939" s="408"/>
      <c r="E939" s="408"/>
      <c r="F939" s="408"/>
      <c r="G939" s="408"/>
      <c r="H939" s="408"/>
      <c r="I939" s="408"/>
      <c r="J939" s="408"/>
      <c r="K939" s="408"/>
      <c r="L939" s="408"/>
      <c r="M939" s="408"/>
      <c r="N939" s="408"/>
      <c r="O939" s="408"/>
      <c r="P939" s="408"/>
      <c r="Q939" s="408"/>
      <c r="R939" s="408"/>
      <c r="S939" s="408"/>
      <c r="T939" s="408"/>
      <c r="U939" s="408"/>
      <c r="V939" s="23"/>
    </row>
    <row r="940" spans="1:32" s="16" customFormat="1" ht="12.75" customHeight="1" x14ac:dyDescent="0.2">
      <c r="A940" s="11"/>
      <c r="B940" s="125"/>
      <c r="C940" s="37"/>
      <c r="D940" s="37"/>
      <c r="E940" s="37"/>
      <c r="F940" s="37"/>
      <c r="G940" s="37"/>
      <c r="H940" s="37"/>
      <c r="I940" s="37"/>
      <c r="J940" s="37"/>
      <c r="K940" s="37"/>
      <c r="L940" s="37"/>
      <c r="M940" s="37"/>
      <c r="N940" s="37"/>
      <c r="O940" s="37"/>
      <c r="P940" s="37"/>
      <c r="Q940" s="37"/>
      <c r="R940" s="37"/>
      <c r="S940" s="37"/>
      <c r="T940" s="37"/>
      <c r="U940" s="37"/>
      <c r="V940" s="23"/>
    </row>
    <row r="941" spans="1:32" s="16" customFormat="1" ht="22.5" customHeight="1" x14ac:dyDescent="0.2">
      <c r="A941" s="11"/>
      <c r="B941" s="125"/>
      <c r="C941" s="408" t="s">
        <v>463</v>
      </c>
      <c r="D941" s="408"/>
      <c r="E941" s="408"/>
      <c r="F941" s="408"/>
      <c r="G941" s="408"/>
      <c r="H941" s="408"/>
      <c r="I941" s="408"/>
      <c r="J941" s="408"/>
      <c r="K941" s="408"/>
      <c r="L941" s="408"/>
      <c r="M941" s="408"/>
      <c r="N941" s="408"/>
      <c r="O941" s="408"/>
      <c r="P941" s="408"/>
      <c r="Q941" s="408"/>
      <c r="R941" s="408"/>
      <c r="S941" s="408"/>
      <c r="T941" s="408"/>
      <c r="U941" s="408"/>
      <c r="V941" s="23"/>
    </row>
    <row r="942" spans="1:32" s="16" customFormat="1" ht="21.75" customHeight="1" x14ac:dyDescent="0.2">
      <c r="A942" s="11"/>
      <c r="B942" s="125"/>
      <c r="C942" s="408" t="str">
        <f>"Mutasi Kredit Rp. "&amp;FIXED(I936+O936)&amp;"."</f>
        <v>Mutasi Kredit Rp. 14.054.789,00.</v>
      </c>
      <c r="D942" s="408"/>
      <c r="E942" s="408"/>
      <c r="F942" s="408"/>
      <c r="G942" s="408"/>
      <c r="H942" s="408"/>
      <c r="I942" s="408"/>
      <c r="J942" s="408"/>
      <c r="K942" s="408"/>
      <c r="L942" s="408"/>
      <c r="M942" s="408"/>
      <c r="N942" s="408"/>
      <c r="O942" s="408"/>
      <c r="P942" s="408"/>
      <c r="Q942" s="408"/>
      <c r="R942" s="408"/>
      <c r="S942" s="408"/>
      <c r="T942" s="408"/>
      <c r="U942" s="408"/>
      <c r="V942" s="23"/>
    </row>
    <row r="943" spans="1:32" s="16" customFormat="1" ht="13.5" customHeight="1" x14ac:dyDescent="0.2">
      <c r="A943" s="11"/>
      <c r="B943" s="63"/>
      <c r="C943" s="64"/>
      <c r="D943" s="64"/>
      <c r="E943" s="64"/>
      <c r="F943" s="64"/>
      <c r="G943" s="64"/>
      <c r="H943" s="64"/>
      <c r="I943" s="64"/>
      <c r="J943" s="64"/>
      <c r="K943" s="64"/>
      <c r="L943" s="64"/>
      <c r="M943" s="64"/>
      <c r="N943" s="64"/>
      <c r="O943" s="64"/>
      <c r="P943" s="64"/>
      <c r="Q943" s="208"/>
      <c r="R943" s="208"/>
      <c r="S943" s="208"/>
      <c r="T943" s="208"/>
      <c r="U943" s="208"/>
      <c r="V943" s="23"/>
    </row>
    <row r="944" spans="1:32" s="16" customFormat="1" ht="22.5" customHeight="1" x14ac:dyDescent="0.2">
      <c r="A944" s="11"/>
      <c r="B944" s="202" t="s">
        <v>471</v>
      </c>
      <c r="C944" s="402" t="str">
        <f>'[1]4.NERACA'!C85</f>
        <v>Meja Dan Kursi Kerja/Rapat Pejabat</v>
      </c>
      <c r="D944" s="402"/>
      <c r="E944" s="402"/>
      <c r="F944" s="402"/>
      <c r="G944" s="402"/>
      <c r="H944" s="402"/>
      <c r="I944" s="402"/>
      <c r="J944" s="402"/>
      <c r="K944" s="402"/>
      <c r="L944" s="402"/>
      <c r="M944" s="402"/>
      <c r="N944" s="402"/>
      <c r="O944" s="402"/>
      <c r="P944" s="402"/>
      <c r="Q944" s="402"/>
      <c r="R944" s="402"/>
      <c r="S944" s="402"/>
      <c r="T944" s="402"/>
      <c r="U944" s="402"/>
      <c r="V944" s="23"/>
    </row>
    <row r="945" spans="1:32" s="16" customFormat="1" ht="63" customHeight="1" x14ac:dyDescent="0.2">
      <c r="A945" s="11"/>
      <c r="C945" s="407" t="str">
        <f>"Nilai aset tetap berupa meja dan kursi/rapat pejabat  per "&amp;'[1]2.ISIAN DATA SKPD'!D8&amp;" dan  "&amp;'[1]2.ISIAN DATA SKPD'!D12&amp;" adalah sebesar Rp. "&amp;FIXED(R950)&amp;" dan Rp. "&amp;FIXED(B950)&amp;" tidak mengalami kenaikan/penurunan sebesar Rp. "&amp;FIXED(AC950)&amp;" atau sebesar "&amp;FIXED(Y950)&amp;"% dari tahun "&amp;'[1]2.ISIAN DATA SKPD'!D12&amp;"."</f>
        <v>Nilai aset tetap berupa meja dan kursi/rapat pejabat  per 31 Desember 2018 dan  2017 adalah sebesar Rp. 52.313.750,00 dan Rp. 31.935.000,00 tidak mengalami kenaikan/penurunan sebesar Rp. 20.378.750,00 atau sebesar 63,81% dari tahun 2017.</v>
      </c>
      <c r="D945" s="407"/>
      <c r="E945" s="407"/>
      <c r="F945" s="407"/>
      <c r="G945" s="407"/>
      <c r="H945" s="407"/>
      <c r="I945" s="407"/>
      <c r="J945" s="407"/>
      <c r="K945" s="407"/>
      <c r="L945" s="407"/>
      <c r="M945" s="407"/>
      <c r="N945" s="407"/>
      <c r="O945" s="407"/>
      <c r="P945" s="407"/>
      <c r="Q945" s="407"/>
      <c r="R945" s="407"/>
      <c r="S945" s="407"/>
      <c r="T945" s="407"/>
      <c r="U945" s="407"/>
      <c r="V945" s="23"/>
    </row>
    <row r="946" spans="1:32" s="16" customFormat="1" ht="20.25" customHeight="1" x14ac:dyDescent="0.2">
      <c r="A946" s="11"/>
      <c r="B946" s="29"/>
      <c r="C946" s="407" t="str">
        <f>"Dengan mutasi  selama tahun "&amp;'[1]2.ISIAN DATA SKPD'!D11&amp;" sebagai berikut :"</f>
        <v>Dengan mutasi  selama tahun 2018 sebagai berikut :</v>
      </c>
      <c r="D946" s="407"/>
      <c r="E946" s="407"/>
      <c r="F946" s="407"/>
      <c r="G946" s="407"/>
      <c r="H946" s="407"/>
      <c r="I946" s="407"/>
      <c r="J946" s="407"/>
      <c r="K946" s="407"/>
      <c r="L946" s="407"/>
      <c r="M946" s="407"/>
      <c r="N946" s="407"/>
      <c r="O946" s="407"/>
      <c r="P946" s="407"/>
      <c r="Q946" s="407"/>
      <c r="R946" s="407"/>
      <c r="S946" s="407"/>
      <c r="T946" s="407"/>
      <c r="U946" s="407"/>
      <c r="V946" s="23"/>
    </row>
    <row r="947" spans="1:32" s="16" customFormat="1" ht="20.25" customHeight="1" x14ac:dyDescent="0.2">
      <c r="A947" s="11"/>
      <c r="B947" s="165"/>
      <c r="C947" s="77"/>
      <c r="D947" s="77"/>
      <c r="E947" s="77"/>
      <c r="F947" s="77"/>
      <c r="G947" s="77"/>
      <c r="H947" s="77"/>
      <c r="I947" s="77"/>
      <c r="J947" s="77"/>
      <c r="K947" s="77"/>
      <c r="L947" s="77"/>
      <c r="M947" s="77"/>
      <c r="N947" s="77"/>
      <c r="O947" s="77"/>
      <c r="P947" s="77"/>
      <c r="Q947" s="77"/>
      <c r="R947" s="77"/>
      <c r="S947" s="77"/>
      <c r="T947" s="77"/>
      <c r="U947" s="77"/>
      <c r="V947" s="23"/>
    </row>
    <row r="948" spans="1:32" s="16" customFormat="1" ht="15.75" customHeight="1" x14ac:dyDescent="0.2">
      <c r="A948" s="567" t="s">
        <v>125</v>
      </c>
      <c r="B948" s="600" t="s">
        <v>443</v>
      </c>
      <c r="C948" s="600"/>
      <c r="D948" s="600"/>
      <c r="E948" s="600"/>
      <c r="F948" s="605" t="s">
        <v>444</v>
      </c>
      <c r="G948" s="605"/>
      <c r="H948" s="605"/>
      <c r="I948" s="605"/>
      <c r="J948" s="605"/>
      <c r="K948" s="605"/>
      <c r="L948" s="605" t="s">
        <v>445</v>
      </c>
      <c r="M948" s="605"/>
      <c r="N948" s="605"/>
      <c r="O948" s="605"/>
      <c r="P948" s="605"/>
      <c r="Q948" s="605"/>
      <c r="R948" s="600" t="s">
        <v>446</v>
      </c>
      <c r="S948" s="600"/>
      <c r="T948" s="600"/>
      <c r="U948" s="600"/>
      <c r="V948" s="23"/>
    </row>
    <row r="949" spans="1:32" s="16" customFormat="1" ht="15.75" customHeight="1" x14ac:dyDescent="0.2">
      <c r="A949" s="568"/>
      <c r="B949" s="732">
        <f>B935</f>
        <v>2017</v>
      </c>
      <c r="C949" s="600"/>
      <c r="D949" s="600"/>
      <c r="E949" s="600"/>
      <c r="F949" s="600" t="s">
        <v>447</v>
      </c>
      <c r="G949" s="600"/>
      <c r="H949" s="600"/>
      <c r="I949" s="599" t="s">
        <v>448</v>
      </c>
      <c r="J949" s="599"/>
      <c r="K949" s="599"/>
      <c r="L949" s="600" t="s">
        <v>447</v>
      </c>
      <c r="M949" s="600"/>
      <c r="N949" s="600"/>
      <c r="O949" s="601" t="s">
        <v>448</v>
      </c>
      <c r="P949" s="601"/>
      <c r="Q949" s="601"/>
      <c r="R949" s="713">
        <f>R935</f>
        <v>2018</v>
      </c>
      <c r="S949" s="714"/>
      <c r="T949" s="714"/>
      <c r="U949" s="715"/>
      <c r="V949" s="487"/>
      <c r="W949" s="480"/>
      <c r="X949" s="480"/>
      <c r="Y949" s="471" t="s">
        <v>449</v>
      </c>
      <c r="Z949" s="480"/>
      <c r="AA949" s="480"/>
      <c r="AB949" s="480"/>
      <c r="AC949" s="488" t="s">
        <v>438</v>
      </c>
      <c r="AD949" s="489"/>
      <c r="AE949" s="489"/>
      <c r="AF949" s="489"/>
    </row>
    <row r="950" spans="1:32" s="16" customFormat="1" ht="42.75" customHeight="1" x14ac:dyDescent="0.2">
      <c r="A950" s="200" t="str">
        <f>C944</f>
        <v>Meja Dan Kursi Kerja/Rapat Pejabat</v>
      </c>
      <c r="B950" s="766">
        <f>'[1]4.NERACA'!D85</f>
        <v>31935000</v>
      </c>
      <c r="C950" s="767"/>
      <c r="D950" s="767"/>
      <c r="E950" s="767"/>
      <c r="F950" s="766">
        <f>'[1]4.NERACA'!E85</f>
        <v>0</v>
      </c>
      <c r="G950" s="767"/>
      <c r="H950" s="768"/>
      <c r="I950" s="769">
        <f>'[1]4.NERACA'!F85</f>
        <v>12958750</v>
      </c>
      <c r="J950" s="770"/>
      <c r="K950" s="771"/>
      <c r="L950" s="766">
        <f>'[1]4.NERACA'!G85</f>
        <v>33337500</v>
      </c>
      <c r="M950" s="767"/>
      <c r="N950" s="768"/>
      <c r="O950" s="766">
        <f>'[1]4.NERACA'!H85</f>
        <v>0</v>
      </c>
      <c r="P950" s="767"/>
      <c r="Q950" s="768"/>
      <c r="R950" s="772">
        <f>B950+F950-I950+L950-O950</f>
        <v>52313750</v>
      </c>
      <c r="S950" s="772"/>
      <c r="T950" s="772"/>
      <c r="U950" s="772"/>
      <c r="V950" s="479"/>
      <c r="W950" s="480"/>
      <c r="X950" s="480"/>
      <c r="Y950" s="471">
        <f>(R950-B950)/B950*100</f>
        <v>63.813214341631443</v>
      </c>
      <c r="Z950" s="480"/>
      <c r="AA950" s="480"/>
      <c r="AB950" s="480"/>
      <c r="AC950" s="471">
        <f>R950-B950</f>
        <v>20378750</v>
      </c>
      <c r="AD950" s="472"/>
      <c r="AE950" s="472"/>
      <c r="AF950" s="472"/>
    </row>
    <row r="951" spans="1:32" s="16" customFormat="1" ht="22.5" customHeight="1" x14ac:dyDescent="0.2">
      <c r="A951" s="11"/>
      <c r="B951" s="408" t="s">
        <v>461</v>
      </c>
      <c r="C951" s="408"/>
      <c r="D951" s="408"/>
      <c r="E951" s="408"/>
      <c r="F951" s="408"/>
      <c r="G951" s="408"/>
      <c r="H951" s="408"/>
      <c r="I951" s="408"/>
      <c r="J951" s="408"/>
      <c r="K951" s="408"/>
      <c r="L951" s="408"/>
      <c r="M951" s="408"/>
      <c r="N951" s="408"/>
      <c r="O951" s="408"/>
      <c r="P951" s="408"/>
      <c r="Q951" s="408"/>
      <c r="R951" s="408"/>
      <c r="S951" s="408"/>
      <c r="T951" s="408"/>
      <c r="U951" s="408"/>
      <c r="V951" s="23"/>
    </row>
    <row r="952" spans="1:32" s="16" customFormat="1" ht="22.5" customHeight="1" x14ac:dyDescent="0.2">
      <c r="A952" s="11"/>
      <c r="B952" s="125"/>
      <c r="C952" s="408" t="s">
        <v>462</v>
      </c>
      <c r="D952" s="408"/>
      <c r="E952" s="408"/>
      <c r="F952" s="408"/>
      <c r="G952" s="408"/>
      <c r="H952" s="408"/>
      <c r="I952" s="408"/>
      <c r="J952" s="408"/>
      <c r="K952" s="408"/>
      <c r="L952" s="408"/>
      <c r="M952" s="408"/>
      <c r="N952" s="408"/>
      <c r="O952" s="408"/>
      <c r="P952" s="408"/>
      <c r="Q952" s="408"/>
      <c r="R952" s="408"/>
      <c r="S952" s="408"/>
      <c r="T952" s="408"/>
      <c r="U952" s="408"/>
      <c r="V952" s="23"/>
    </row>
    <row r="953" spans="1:32" s="16" customFormat="1" ht="19.5" customHeight="1" x14ac:dyDescent="0.2">
      <c r="A953" s="11"/>
      <c r="B953" s="125"/>
      <c r="C953" s="408" t="str">
        <f>"Mutasi Debet sebesar Rp. "&amp;FIXED(F950+L950)&amp;" ."</f>
        <v>Mutasi Debet sebesar Rp. 33.337.500,00 .</v>
      </c>
      <c r="D953" s="408"/>
      <c r="E953" s="408"/>
      <c r="F953" s="408"/>
      <c r="G953" s="408"/>
      <c r="H953" s="408"/>
      <c r="I953" s="408"/>
      <c r="J953" s="408"/>
      <c r="K953" s="408"/>
      <c r="L953" s="408"/>
      <c r="M953" s="408"/>
      <c r="N953" s="408"/>
      <c r="O953" s="408"/>
      <c r="P953" s="408"/>
      <c r="Q953" s="408"/>
      <c r="R953" s="408"/>
      <c r="S953" s="408"/>
      <c r="T953" s="408"/>
      <c r="U953" s="408"/>
      <c r="V953" s="23"/>
    </row>
    <row r="954" spans="1:32" s="16" customFormat="1" ht="15" customHeight="1" x14ac:dyDescent="0.2">
      <c r="A954" s="11"/>
      <c r="B954" s="125"/>
      <c r="C954" s="408" t="s">
        <v>463</v>
      </c>
      <c r="D954" s="408"/>
      <c r="E954" s="408"/>
      <c r="F954" s="408"/>
      <c r="G954" s="408"/>
      <c r="H954" s="408"/>
      <c r="I954" s="408"/>
      <c r="J954" s="408"/>
      <c r="K954" s="408"/>
      <c r="L954" s="408"/>
      <c r="M954" s="408"/>
      <c r="N954" s="408"/>
      <c r="O954" s="408"/>
      <c r="P954" s="408"/>
      <c r="Q954" s="408"/>
      <c r="R954" s="408"/>
      <c r="S954" s="408"/>
      <c r="T954" s="408"/>
      <c r="U954" s="408"/>
      <c r="V954" s="23"/>
    </row>
    <row r="955" spans="1:32" s="16" customFormat="1" ht="16.5" customHeight="1" x14ac:dyDescent="0.2">
      <c r="A955" s="11"/>
      <c r="B955" s="125"/>
      <c r="C955" s="408" t="str">
        <f>"Mutasi Kredit Rp. "&amp;FIXED(I950+O950)&amp;"."</f>
        <v>Mutasi Kredit Rp. 12.958.750,00.</v>
      </c>
      <c r="D955" s="408"/>
      <c r="E955" s="408"/>
      <c r="F955" s="408"/>
      <c r="G955" s="408"/>
      <c r="H955" s="408"/>
      <c r="I955" s="408"/>
      <c r="J955" s="408"/>
      <c r="K955" s="408"/>
      <c r="L955" s="408"/>
      <c r="M955" s="408"/>
      <c r="N955" s="408"/>
      <c r="O955" s="408"/>
      <c r="P955" s="408"/>
      <c r="Q955" s="408"/>
      <c r="R955" s="408"/>
      <c r="S955" s="408"/>
      <c r="T955" s="408"/>
      <c r="U955" s="408"/>
      <c r="V955" s="210"/>
    </row>
    <row r="956" spans="1:32" s="16" customFormat="1" ht="15" customHeight="1" x14ac:dyDescent="0.2">
      <c r="A956" s="11"/>
      <c r="B956" s="63"/>
      <c r="C956" s="64"/>
      <c r="D956" s="64"/>
      <c r="E956" s="64"/>
      <c r="F956" s="64"/>
      <c r="G956" s="64"/>
      <c r="H956" s="64"/>
      <c r="I956" s="64"/>
      <c r="J956" s="64"/>
      <c r="K956" s="64"/>
      <c r="L956" s="64"/>
      <c r="M956" s="64"/>
      <c r="N956" s="64"/>
      <c r="O956" s="64"/>
      <c r="P956" s="64"/>
      <c r="Q956" s="208"/>
      <c r="R956" s="208"/>
      <c r="S956" s="208"/>
      <c r="T956" s="208"/>
      <c r="U956" s="208"/>
      <c r="V956" s="23"/>
    </row>
    <row r="957" spans="1:32" s="16" customFormat="1" ht="22.5" customHeight="1" x14ac:dyDescent="0.2">
      <c r="A957" s="11"/>
      <c r="B957" s="202" t="s">
        <v>472</v>
      </c>
      <c r="C957" s="402" t="str">
        <f>'[1]4.NERACA'!C86</f>
        <v>Alat Studio</v>
      </c>
      <c r="D957" s="402"/>
      <c r="E957" s="402"/>
      <c r="F957" s="402"/>
      <c r="G957" s="402"/>
      <c r="H957" s="402"/>
      <c r="I957" s="402"/>
      <c r="J957" s="402"/>
      <c r="K957" s="402"/>
      <c r="L957" s="402"/>
      <c r="M957" s="402"/>
      <c r="N957" s="402"/>
      <c r="O957" s="402"/>
      <c r="P957" s="402"/>
      <c r="Q957" s="402"/>
      <c r="R957" s="402"/>
      <c r="S957" s="402"/>
      <c r="T957" s="402"/>
      <c r="U957" s="402"/>
      <c r="V957" s="23"/>
    </row>
    <row r="958" spans="1:32" s="16" customFormat="1" ht="66" customHeight="1" x14ac:dyDescent="0.2">
      <c r="A958" s="11"/>
      <c r="C958" s="407" t="str">
        <f>"Nilai aset tetap berupa alat studio  per "&amp;'[1]2.ISIAN DATA SKPD'!D8&amp;" dan  "&amp;'[1]2.ISIAN DATA SKPD'!D12&amp;" adalah sebesar Rp. "&amp;FIXED(R963)&amp;" dan Rp. "&amp;FIXED(B963)&amp;" mengalami kenaikan sebesar Rp. "&amp;FIXED(AC963)&amp;" atau sebesar "&amp;FIXED(Y963)&amp;"% dari tahun "&amp;'[1]2.ISIAN DATA SKPD'!D12&amp;"."</f>
        <v>Nilai aset tetap berupa alat studio  per 31 Desember 2018 dan  2017 adalah sebesar Rp. 136.037.828,00 dan Rp. 32.778.000,00 mengalami kenaikan sebesar Rp. 103.259.828,00 atau sebesar 315,03% dari tahun 2017.</v>
      </c>
      <c r="D958" s="407"/>
      <c r="E958" s="407"/>
      <c r="F958" s="407"/>
      <c r="G958" s="407"/>
      <c r="H958" s="407"/>
      <c r="I958" s="407"/>
      <c r="J958" s="407"/>
      <c r="K958" s="407"/>
      <c r="L958" s="407"/>
      <c r="M958" s="407"/>
      <c r="N958" s="407"/>
      <c r="O958" s="407"/>
      <c r="P958" s="407"/>
      <c r="Q958" s="407"/>
      <c r="R958" s="407"/>
      <c r="S958" s="407"/>
      <c r="T958" s="407"/>
      <c r="U958" s="407"/>
      <c r="V958" s="23"/>
    </row>
    <row r="959" spans="1:32" s="16" customFormat="1" ht="18" customHeight="1" x14ac:dyDescent="0.2">
      <c r="A959" s="11"/>
      <c r="B959" s="77"/>
      <c r="C959" s="407" t="str">
        <f>"Dengan mutasi  selama tahun "&amp;'[1]2.ISIAN DATA SKPD'!D11&amp;" sebagai berikut :"</f>
        <v>Dengan mutasi  selama tahun 2018 sebagai berikut :</v>
      </c>
      <c r="D959" s="407"/>
      <c r="E959" s="407"/>
      <c r="F959" s="407"/>
      <c r="G959" s="407"/>
      <c r="H959" s="407"/>
      <c r="I959" s="407"/>
      <c r="J959" s="407"/>
      <c r="K959" s="407"/>
      <c r="L959" s="407"/>
      <c r="M959" s="407"/>
      <c r="N959" s="407"/>
      <c r="O959" s="407"/>
      <c r="P959" s="407"/>
      <c r="Q959" s="407"/>
      <c r="R959" s="407"/>
      <c r="S959" s="407"/>
      <c r="T959" s="407"/>
      <c r="U959" s="407"/>
      <c r="V959" s="23"/>
    </row>
    <row r="960" spans="1:32" s="16" customFormat="1" ht="10.5" customHeight="1" x14ac:dyDescent="0.2">
      <c r="A960" s="11"/>
      <c r="B960" s="77"/>
      <c r="C960" s="77"/>
      <c r="D960" s="77"/>
      <c r="E960" s="77"/>
      <c r="F960" s="77"/>
      <c r="G960" s="77"/>
      <c r="H960" s="77"/>
      <c r="I960" s="77"/>
      <c r="J960" s="77"/>
      <c r="K960" s="77"/>
      <c r="L960" s="77"/>
      <c r="M960" s="77"/>
      <c r="N960" s="77"/>
      <c r="O960" s="77"/>
      <c r="P960" s="77"/>
      <c r="Q960" s="77"/>
      <c r="R960" s="77"/>
      <c r="S960" s="77"/>
      <c r="T960" s="77"/>
      <c r="U960" s="77"/>
      <c r="V960" s="23"/>
    </row>
    <row r="961" spans="1:32" s="16" customFormat="1" ht="15.75" customHeight="1" x14ac:dyDescent="0.2">
      <c r="A961" s="567" t="s">
        <v>125</v>
      </c>
      <c r="B961" s="600" t="s">
        <v>443</v>
      </c>
      <c r="C961" s="600"/>
      <c r="D961" s="600"/>
      <c r="E961" s="600"/>
      <c r="F961" s="605" t="s">
        <v>444</v>
      </c>
      <c r="G961" s="605"/>
      <c r="H961" s="605"/>
      <c r="I961" s="605"/>
      <c r="J961" s="605"/>
      <c r="K961" s="605"/>
      <c r="L961" s="605" t="s">
        <v>445</v>
      </c>
      <c r="M961" s="605"/>
      <c r="N961" s="605"/>
      <c r="O961" s="605"/>
      <c r="P961" s="605"/>
      <c r="Q961" s="605"/>
      <c r="R961" s="600" t="s">
        <v>446</v>
      </c>
      <c r="S961" s="600"/>
      <c r="T961" s="600"/>
      <c r="U961" s="600"/>
      <c r="V961" s="23"/>
    </row>
    <row r="962" spans="1:32" s="16" customFormat="1" ht="15.75" customHeight="1" x14ac:dyDescent="0.2">
      <c r="A962" s="568"/>
      <c r="B962" s="732">
        <f>B949</f>
        <v>2017</v>
      </c>
      <c r="C962" s="600"/>
      <c r="D962" s="600"/>
      <c r="E962" s="600"/>
      <c r="F962" s="600" t="s">
        <v>447</v>
      </c>
      <c r="G962" s="600"/>
      <c r="H962" s="600"/>
      <c r="I962" s="599" t="s">
        <v>448</v>
      </c>
      <c r="J962" s="599"/>
      <c r="K962" s="599"/>
      <c r="L962" s="600" t="s">
        <v>447</v>
      </c>
      <c r="M962" s="600"/>
      <c r="N962" s="600"/>
      <c r="O962" s="601" t="s">
        <v>448</v>
      </c>
      <c r="P962" s="601"/>
      <c r="Q962" s="601"/>
      <c r="R962" s="713">
        <f>R949</f>
        <v>2018</v>
      </c>
      <c r="S962" s="714"/>
      <c r="T962" s="714"/>
      <c r="U962" s="715"/>
      <c r="V962" s="487"/>
      <c r="W962" s="480"/>
      <c r="X962" s="480"/>
      <c r="Y962" s="471" t="s">
        <v>449</v>
      </c>
      <c r="Z962" s="480"/>
      <c r="AA962" s="480"/>
      <c r="AB962" s="480"/>
      <c r="AC962" s="488" t="s">
        <v>438</v>
      </c>
      <c r="AD962" s="489"/>
      <c r="AE962" s="489"/>
      <c r="AF962" s="489"/>
    </row>
    <row r="963" spans="1:32" s="16" customFormat="1" ht="15.75" customHeight="1" x14ac:dyDescent="0.2">
      <c r="A963" s="200" t="str">
        <f>C957</f>
        <v>Alat Studio</v>
      </c>
      <c r="B963" s="766">
        <f>'[1]4.NERACA'!D86</f>
        <v>32778000</v>
      </c>
      <c r="C963" s="767"/>
      <c r="D963" s="767"/>
      <c r="E963" s="767"/>
      <c r="F963" s="773">
        <f>'[1]4.NERACA'!E86</f>
        <v>103259828</v>
      </c>
      <c r="G963" s="774"/>
      <c r="H963" s="775"/>
      <c r="I963" s="769">
        <f>'[1]4.NERACA'!F86</f>
        <v>151595000</v>
      </c>
      <c r="J963" s="770"/>
      <c r="K963" s="771"/>
      <c r="L963" s="766">
        <f>'[1]4.NERACA'!G86</f>
        <v>151595000</v>
      </c>
      <c r="M963" s="767"/>
      <c r="N963" s="768"/>
      <c r="O963" s="766">
        <f>'[1]4.NERACA'!H86</f>
        <v>0</v>
      </c>
      <c r="P963" s="767"/>
      <c r="Q963" s="768"/>
      <c r="R963" s="772">
        <f>B963+F963-I963+L963-O963</f>
        <v>136037828</v>
      </c>
      <c r="S963" s="772"/>
      <c r="T963" s="772"/>
      <c r="U963" s="772"/>
      <c r="V963" s="479"/>
      <c r="W963" s="480"/>
      <c r="X963" s="480"/>
      <c r="Y963" s="471">
        <f>(R963-B963)/B963*100</f>
        <v>315.0278479467936</v>
      </c>
      <c r="Z963" s="480"/>
      <c r="AA963" s="480"/>
      <c r="AB963" s="480"/>
      <c r="AC963" s="471">
        <f>R963-B963</f>
        <v>103259828</v>
      </c>
      <c r="AD963" s="472"/>
      <c r="AE963" s="472"/>
      <c r="AF963" s="472"/>
    </row>
    <row r="964" spans="1:32" s="16" customFormat="1" ht="15.75" customHeight="1" x14ac:dyDescent="0.2">
      <c r="A964" s="11"/>
      <c r="B964" s="205"/>
      <c r="C964" s="205"/>
      <c r="D964" s="205"/>
      <c r="E964" s="205"/>
      <c r="F964" s="206"/>
      <c r="G964" s="206"/>
      <c r="H964" s="206"/>
      <c r="I964" s="205"/>
      <c r="J964" s="205"/>
      <c r="K964" s="205"/>
      <c r="L964" s="205"/>
      <c r="M964" s="205"/>
      <c r="N964" s="205"/>
      <c r="O964" s="205"/>
      <c r="P964" s="205"/>
      <c r="Q964" s="205"/>
      <c r="R964" s="205"/>
      <c r="S964" s="205"/>
      <c r="T964" s="205"/>
      <c r="U964" s="205"/>
      <c r="V964" s="112"/>
      <c r="W964" s="211"/>
      <c r="X964" s="211"/>
      <c r="Y964" s="113"/>
      <c r="Z964" s="211"/>
      <c r="AA964" s="211"/>
      <c r="AB964" s="211"/>
      <c r="AC964" s="113"/>
      <c r="AD964" s="114"/>
      <c r="AE964" s="114"/>
      <c r="AF964" s="114"/>
    </row>
    <row r="965" spans="1:32" s="16" customFormat="1" ht="15.75" customHeight="1" x14ac:dyDescent="0.2">
      <c r="A965" s="11"/>
      <c r="B965" s="205"/>
      <c r="C965" s="205"/>
      <c r="D965" s="205"/>
      <c r="E965" s="205"/>
      <c r="F965" s="206"/>
      <c r="G965" s="206"/>
      <c r="H965" s="206"/>
      <c r="I965" s="205"/>
      <c r="J965" s="205"/>
      <c r="K965" s="205"/>
      <c r="L965" s="205"/>
      <c r="M965" s="205"/>
      <c r="N965" s="205"/>
      <c r="O965" s="205"/>
      <c r="P965" s="205"/>
      <c r="Q965" s="205"/>
      <c r="R965" s="205"/>
      <c r="S965" s="205"/>
      <c r="T965" s="205"/>
      <c r="U965" s="205"/>
      <c r="V965" s="112"/>
      <c r="W965" s="211"/>
      <c r="X965" s="211"/>
      <c r="Y965" s="113"/>
      <c r="Z965" s="211"/>
      <c r="AA965" s="211"/>
      <c r="AB965" s="211"/>
      <c r="AC965" s="113"/>
      <c r="AD965" s="114"/>
      <c r="AE965" s="114"/>
      <c r="AF965" s="114"/>
    </row>
    <row r="966" spans="1:32" s="16" customFormat="1" ht="22.5" customHeight="1" x14ac:dyDescent="0.2">
      <c r="A966" s="11"/>
      <c r="B966" s="408" t="s">
        <v>461</v>
      </c>
      <c r="C966" s="408"/>
      <c r="D966" s="408"/>
      <c r="E966" s="408"/>
      <c r="F966" s="408"/>
      <c r="G966" s="408"/>
      <c r="H966" s="408"/>
      <c r="I966" s="408"/>
      <c r="J966" s="408"/>
      <c r="K966" s="408"/>
      <c r="L966" s="408"/>
      <c r="M966" s="408"/>
      <c r="N966" s="408"/>
      <c r="O966" s="408"/>
      <c r="P966" s="408"/>
      <c r="Q966" s="408"/>
      <c r="R966" s="408"/>
      <c r="S966" s="408"/>
      <c r="T966" s="408"/>
      <c r="U966" s="408"/>
      <c r="V966" s="23"/>
    </row>
    <row r="967" spans="1:32" s="16" customFormat="1" ht="17.25" customHeight="1" x14ac:dyDescent="0.2">
      <c r="A967" s="11"/>
      <c r="B967" s="125"/>
      <c r="C967" s="408" t="s">
        <v>462</v>
      </c>
      <c r="D967" s="408"/>
      <c r="E967" s="408"/>
      <c r="F967" s="408"/>
      <c r="G967" s="408"/>
      <c r="H967" s="408"/>
      <c r="I967" s="408"/>
      <c r="J967" s="408"/>
      <c r="K967" s="408"/>
      <c r="L967" s="408"/>
      <c r="M967" s="408"/>
      <c r="N967" s="408"/>
      <c r="O967" s="408"/>
      <c r="P967" s="408"/>
      <c r="Q967" s="408"/>
      <c r="R967" s="408"/>
      <c r="S967" s="408"/>
      <c r="T967" s="408"/>
      <c r="U967" s="408"/>
      <c r="V967" s="23"/>
    </row>
    <row r="968" spans="1:32" s="16" customFormat="1" ht="63.75" customHeight="1" x14ac:dyDescent="0.2">
      <c r="A968" s="11"/>
      <c r="B968" s="125"/>
      <c r="C968" s="408" t="str">
        <f>"Mutasi Debet sebesar Rp. "&amp;FIXED(F963+L963)&amp;" adalah hasil pengadaan barang tahun "&amp;'[1]2.ISIAN DATA SKPD'!D21&amp;" dari reklas belanja modal Gedung dan Bangunan berupa pengadaan Bangunan Gedung Tempat Kerja Lainnya ke Alat Studio (Camera Canon) "</f>
        <v xml:space="preserve">Mutasi Debet sebesar Rp. 254.854.828,00 adalah hasil pengadaan barang tahun  dari reklas belanja modal Gedung dan Bangunan berupa pengadaan Bangunan Gedung Tempat Kerja Lainnya ke Alat Studio (Camera Canon) </v>
      </c>
      <c r="D968" s="408"/>
      <c r="E968" s="408"/>
      <c r="F968" s="408"/>
      <c r="G968" s="408"/>
      <c r="H968" s="408"/>
      <c r="I968" s="408"/>
      <c r="J968" s="408"/>
      <c r="K968" s="408"/>
      <c r="L968" s="408"/>
      <c r="M968" s="408"/>
      <c r="N968" s="408"/>
      <c r="O968" s="408"/>
      <c r="P968" s="408"/>
      <c r="Q968" s="408"/>
      <c r="R968" s="408"/>
      <c r="S968" s="408"/>
      <c r="T968" s="408"/>
      <c r="U968" s="408"/>
      <c r="V968" s="23"/>
    </row>
    <row r="969" spans="1:32" s="16" customFormat="1" ht="16.5" customHeight="1" x14ac:dyDescent="0.2">
      <c r="A969" s="11"/>
      <c r="B969" s="125"/>
      <c r="C969" s="37"/>
      <c r="D969" s="37"/>
      <c r="E969" s="37"/>
      <c r="F969" s="37"/>
      <c r="G969" s="37"/>
      <c r="H969" s="37"/>
      <c r="I969" s="37"/>
      <c r="J969" s="37"/>
      <c r="K969" s="37"/>
      <c r="L969" s="37"/>
      <c r="M969" s="37"/>
      <c r="N969" s="37"/>
      <c r="O969" s="37"/>
      <c r="P969" s="37"/>
      <c r="Q969" s="37"/>
      <c r="R969" s="37"/>
      <c r="S969" s="37"/>
      <c r="T969" s="37"/>
      <c r="U969" s="37"/>
      <c r="V969" s="23"/>
    </row>
    <row r="970" spans="1:32" s="16" customFormat="1" ht="18" customHeight="1" x14ac:dyDescent="0.2">
      <c r="A970" s="11"/>
      <c r="B970" s="125"/>
      <c r="C970" s="408" t="s">
        <v>463</v>
      </c>
      <c r="D970" s="408"/>
      <c r="E970" s="408"/>
      <c r="F970" s="408"/>
      <c r="G970" s="408"/>
      <c r="H970" s="408"/>
      <c r="I970" s="408"/>
      <c r="J970" s="408"/>
      <c r="K970" s="408"/>
      <c r="L970" s="408"/>
      <c r="M970" s="408"/>
      <c r="N970" s="408"/>
      <c r="O970" s="408"/>
      <c r="P970" s="408"/>
      <c r="Q970" s="408"/>
      <c r="R970" s="408"/>
      <c r="S970" s="408"/>
      <c r="T970" s="408"/>
      <c r="U970" s="408"/>
      <c r="V970" s="23"/>
    </row>
    <row r="971" spans="1:32" s="16" customFormat="1" ht="16.5" customHeight="1" x14ac:dyDescent="0.2">
      <c r="A971" s="11"/>
      <c r="B971" s="125"/>
      <c r="C971" s="408" t="str">
        <f>"Mutasi Kredit Rp. "&amp;FIXED(I963+O963)&amp;"."</f>
        <v>Mutasi Kredit Rp. 151.595.000,00.</v>
      </c>
      <c r="D971" s="408"/>
      <c r="E971" s="408"/>
      <c r="F971" s="408"/>
      <c r="G971" s="408"/>
      <c r="H971" s="408"/>
      <c r="I971" s="408"/>
      <c r="J971" s="408"/>
      <c r="K971" s="408"/>
      <c r="L971" s="408"/>
      <c r="M971" s="408"/>
      <c r="N971" s="408"/>
      <c r="O971" s="408"/>
      <c r="P971" s="408"/>
      <c r="Q971" s="408"/>
      <c r="R971" s="408"/>
      <c r="S971" s="408"/>
      <c r="T971" s="408"/>
      <c r="U971" s="408"/>
      <c r="V971" s="23"/>
    </row>
    <row r="972" spans="1:32" s="16" customFormat="1" ht="15.75" customHeight="1" x14ac:dyDescent="0.2">
      <c r="A972" s="11"/>
      <c r="B972" s="63"/>
      <c r="C972" s="64"/>
      <c r="D972" s="64"/>
      <c r="E972" s="64"/>
      <c r="F972" s="64"/>
      <c r="G972" s="64"/>
      <c r="H972" s="64"/>
      <c r="I972" s="64"/>
      <c r="J972" s="64"/>
      <c r="K972" s="64"/>
      <c r="L972" s="64"/>
      <c r="M972" s="64"/>
      <c r="N972" s="64"/>
      <c r="O972" s="64"/>
      <c r="P972" s="64"/>
      <c r="Q972" s="208"/>
      <c r="R972" s="208"/>
      <c r="S972" s="208"/>
      <c r="T972" s="208"/>
      <c r="U972" s="208"/>
      <c r="V972" s="23"/>
    </row>
    <row r="973" spans="1:32" s="16" customFormat="1" ht="19.5" customHeight="1" x14ac:dyDescent="0.2">
      <c r="A973" s="11"/>
      <c r="B973" s="202" t="s">
        <v>473</v>
      </c>
      <c r="C973" s="402" t="str">
        <f>'[1]4.NERACA'!C87</f>
        <v>Alat Komunikasi</v>
      </c>
      <c r="D973" s="402"/>
      <c r="E973" s="402"/>
      <c r="F973" s="402"/>
      <c r="G973" s="402"/>
      <c r="H973" s="402"/>
      <c r="I973" s="402"/>
      <c r="J973" s="402"/>
      <c r="K973" s="402"/>
      <c r="L973" s="402"/>
      <c r="M973" s="402"/>
      <c r="N973" s="402"/>
      <c r="O973" s="402"/>
      <c r="P973" s="402"/>
      <c r="Q973" s="402"/>
      <c r="R973" s="402"/>
      <c r="S973" s="402"/>
      <c r="T973" s="402"/>
      <c r="U973" s="402"/>
      <c r="V973" s="23"/>
    </row>
    <row r="974" spans="1:32" s="16" customFormat="1" ht="66" customHeight="1" x14ac:dyDescent="0.2">
      <c r="A974" s="11"/>
      <c r="C974" s="407" t="str">
        <f>"Nilai aset tetap berupa alat komunikasi  per "&amp;'[1]2.ISIAN DATA SKPD'!D8&amp;" dan  "&amp;'[1]2.ISIAN DATA SKPD'!D12&amp;" adalah sebesar Rp. "&amp;FIXED(R979)&amp;" dan Rp. "&amp;FIXED(B979)&amp;" tidak mengalami kenaikan/penurunan sebesar Rp. "&amp;FIXED(AC979)&amp;" atau sebesar "&amp;FIXED(Y979)&amp;"% dari tahun "&amp;'[1]2.ISIAN DATA SKPD'!D12&amp;"."</f>
        <v>Nilai aset tetap berupa alat komunikasi  per 31 Desember 2018 dan  2017 adalah sebesar Rp. 6.334.000,00 dan Rp. 3.414.000,00 tidak mengalami kenaikan/penurunan sebesar Rp. 2.920.000,00 atau sebesar 85,53% dari tahun 2017.</v>
      </c>
      <c r="D974" s="407"/>
      <c r="E974" s="407"/>
      <c r="F974" s="407"/>
      <c r="G974" s="407"/>
      <c r="H974" s="407"/>
      <c r="I974" s="407"/>
      <c r="J974" s="407"/>
      <c r="K974" s="407"/>
      <c r="L974" s="407"/>
      <c r="M974" s="407"/>
      <c r="N974" s="407"/>
      <c r="O974" s="407"/>
      <c r="P974" s="407"/>
      <c r="Q974" s="407"/>
      <c r="R974" s="407"/>
      <c r="S974" s="407"/>
      <c r="T974" s="407"/>
      <c r="U974" s="407"/>
      <c r="V974" s="23"/>
    </row>
    <row r="975" spans="1:32" s="16" customFormat="1" ht="17.25" customHeight="1" x14ac:dyDescent="0.2">
      <c r="A975" s="11"/>
      <c r="B975" s="77"/>
      <c r="C975" s="407" t="str">
        <f>"Dengan mutasi  selama tahun "&amp;'[1]2.ISIAN DATA SKPD'!D11&amp;" sebagai berikut :"</f>
        <v>Dengan mutasi  selama tahun 2018 sebagai berikut :</v>
      </c>
      <c r="D975" s="407"/>
      <c r="E975" s="407"/>
      <c r="F975" s="407"/>
      <c r="G975" s="407"/>
      <c r="H975" s="407"/>
      <c r="I975" s="407"/>
      <c r="J975" s="407"/>
      <c r="K975" s="407"/>
      <c r="L975" s="407"/>
      <c r="M975" s="407"/>
      <c r="N975" s="407"/>
      <c r="O975" s="407"/>
      <c r="P975" s="407"/>
      <c r="Q975" s="407"/>
      <c r="R975" s="407"/>
      <c r="S975" s="407"/>
      <c r="T975" s="407"/>
      <c r="U975" s="407"/>
      <c r="V975" s="23"/>
    </row>
    <row r="976" spans="1:32" s="16" customFormat="1" ht="17.25" customHeight="1" x14ac:dyDescent="0.2">
      <c r="A976" s="11"/>
      <c r="B976" s="77"/>
      <c r="C976" s="77"/>
      <c r="D976" s="77"/>
      <c r="E976" s="77"/>
      <c r="F976" s="77"/>
      <c r="G976" s="77"/>
      <c r="H976" s="77"/>
      <c r="I976" s="77"/>
      <c r="J976" s="77"/>
      <c r="K976" s="77"/>
      <c r="L976" s="77"/>
      <c r="M976" s="77"/>
      <c r="N976" s="77"/>
      <c r="O976" s="77"/>
      <c r="P976" s="77"/>
      <c r="Q976" s="77"/>
      <c r="R976" s="77"/>
      <c r="S976" s="77"/>
      <c r="T976" s="77"/>
      <c r="U976" s="77"/>
      <c r="V976" s="23"/>
    </row>
    <row r="977" spans="1:32" s="16" customFormat="1" ht="15.75" customHeight="1" x14ac:dyDescent="0.2">
      <c r="A977" s="567" t="s">
        <v>125</v>
      </c>
      <c r="B977" s="600" t="s">
        <v>443</v>
      </c>
      <c r="C977" s="600"/>
      <c r="D977" s="600"/>
      <c r="E977" s="600"/>
      <c r="F977" s="605" t="s">
        <v>444</v>
      </c>
      <c r="G977" s="605"/>
      <c r="H977" s="605"/>
      <c r="I977" s="605"/>
      <c r="J977" s="605"/>
      <c r="K977" s="605"/>
      <c r="L977" s="605" t="s">
        <v>445</v>
      </c>
      <c r="M977" s="605"/>
      <c r="N977" s="605"/>
      <c r="O977" s="605"/>
      <c r="P977" s="605"/>
      <c r="Q977" s="605"/>
      <c r="R977" s="600" t="s">
        <v>446</v>
      </c>
      <c r="S977" s="600"/>
      <c r="T977" s="600"/>
      <c r="U977" s="600"/>
      <c r="V977" s="23"/>
    </row>
    <row r="978" spans="1:32" s="16" customFormat="1" ht="15.75" customHeight="1" x14ac:dyDescent="0.2">
      <c r="A978" s="568"/>
      <c r="B978" s="732">
        <f>B962</f>
        <v>2017</v>
      </c>
      <c r="C978" s="600"/>
      <c r="D978" s="600"/>
      <c r="E978" s="600"/>
      <c r="F978" s="600" t="s">
        <v>447</v>
      </c>
      <c r="G978" s="600"/>
      <c r="H978" s="600"/>
      <c r="I978" s="599" t="s">
        <v>448</v>
      </c>
      <c r="J978" s="599"/>
      <c r="K978" s="599"/>
      <c r="L978" s="600" t="s">
        <v>447</v>
      </c>
      <c r="M978" s="600"/>
      <c r="N978" s="600"/>
      <c r="O978" s="601" t="s">
        <v>448</v>
      </c>
      <c r="P978" s="601"/>
      <c r="Q978" s="601"/>
      <c r="R978" s="685">
        <f>R962</f>
        <v>2018</v>
      </c>
      <c r="S978" s="601"/>
      <c r="T978" s="601"/>
      <c r="U978" s="601"/>
      <c r="V978" s="487"/>
      <c r="W978" s="480"/>
      <c r="X978" s="480"/>
      <c r="Y978" s="471" t="s">
        <v>449</v>
      </c>
      <c r="Z978" s="480"/>
      <c r="AA978" s="480"/>
      <c r="AB978" s="480"/>
      <c r="AC978" s="488" t="s">
        <v>438</v>
      </c>
      <c r="AD978" s="489"/>
      <c r="AE978" s="489"/>
      <c r="AF978" s="489"/>
    </row>
    <row r="979" spans="1:32" s="16" customFormat="1" ht="33.75" customHeight="1" x14ac:dyDescent="0.2">
      <c r="A979" s="200" t="str">
        <f>C973</f>
        <v>Alat Komunikasi</v>
      </c>
      <c r="B979" s="766">
        <f>'[1]4.NERACA'!D87</f>
        <v>3414000</v>
      </c>
      <c r="C979" s="767"/>
      <c r="D979" s="767"/>
      <c r="E979" s="767"/>
      <c r="F979" s="766">
        <f>'[1]4.NERACA'!E87</f>
        <v>2920000</v>
      </c>
      <c r="G979" s="767"/>
      <c r="H979" s="768"/>
      <c r="I979" s="769">
        <f>'[1]4.NERACA'!F87</f>
        <v>8318000</v>
      </c>
      <c r="J979" s="770"/>
      <c r="K979" s="771"/>
      <c r="L979" s="766">
        <f>'[1]4.NERACA'!G87</f>
        <v>8318000</v>
      </c>
      <c r="M979" s="767"/>
      <c r="N979" s="768"/>
      <c r="O979" s="766">
        <f>'[1]4.NERACA'!H87</f>
        <v>0</v>
      </c>
      <c r="P979" s="767"/>
      <c r="Q979" s="768"/>
      <c r="R979" s="772">
        <f>B979+F979-I979+L979-O979</f>
        <v>6334000</v>
      </c>
      <c r="S979" s="772"/>
      <c r="T979" s="772"/>
      <c r="U979" s="772"/>
      <c r="V979" s="479"/>
      <c r="W979" s="480"/>
      <c r="X979" s="480"/>
      <c r="Y979" s="471">
        <f>(R979-B979)/B979*100</f>
        <v>85.530169888693621</v>
      </c>
      <c r="Z979" s="480"/>
      <c r="AA979" s="480"/>
      <c r="AB979" s="480"/>
      <c r="AC979" s="471">
        <f>R979-B979</f>
        <v>2920000</v>
      </c>
      <c r="AD979" s="472"/>
      <c r="AE979" s="472"/>
      <c r="AF979" s="472"/>
    </row>
    <row r="980" spans="1:32" s="16" customFormat="1" ht="15" customHeight="1" x14ac:dyDescent="0.2">
      <c r="A980" s="11"/>
      <c r="B980" s="408" t="s">
        <v>461</v>
      </c>
      <c r="C980" s="408"/>
      <c r="D980" s="408"/>
      <c r="E980" s="408"/>
      <c r="F980" s="408"/>
      <c r="G980" s="408"/>
      <c r="H980" s="408"/>
      <c r="I980" s="408"/>
      <c r="J980" s="408"/>
      <c r="K980" s="408"/>
      <c r="L980" s="408"/>
      <c r="M980" s="408"/>
      <c r="N980" s="408"/>
      <c r="O980" s="408"/>
      <c r="P980" s="408"/>
      <c r="Q980" s="408"/>
      <c r="R980" s="408"/>
      <c r="S980" s="408"/>
      <c r="T980" s="408"/>
      <c r="U980" s="408"/>
      <c r="V980" s="23"/>
    </row>
    <row r="981" spans="1:32" s="16" customFormat="1" ht="15" customHeight="1" x14ac:dyDescent="0.2">
      <c r="A981" s="11"/>
      <c r="B981" s="125"/>
      <c r="C981" s="408" t="s">
        <v>462</v>
      </c>
      <c r="D981" s="408"/>
      <c r="E981" s="408"/>
      <c r="F981" s="408"/>
      <c r="G981" s="408"/>
      <c r="H981" s="408"/>
      <c r="I981" s="408"/>
      <c r="J981" s="408"/>
      <c r="K981" s="408"/>
      <c r="L981" s="408"/>
      <c r="M981" s="408"/>
      <c r="N981" s="408"/>
      <c r="O981" s="408"/>
      <c r="P981" s="408"/>
      <c r="Q981" s="408"/>
      <c r="R981" s="408"/>
      <c r="S981" s="408"/>
      <c r="T981" s="408"/>
      <c r="U981" s="408"/>
      <c r="V981" s="23"/>
    </row>
    <row r="982" spans="1:32" s="16" customFormat="1" ht="17.25" customHeight="1" x14ac:dyDescent="0.2">
      <c r="A982" s="11"/>
      <c r="B982" s="125"/>
      <c r="C982" s="408" t="str">
        <f>"Mutasi Debet sebesar Rp. "&amp;FIXED(F979+L979)&amp;"."</f>
        <v>Mutasi Debet sebesar Rp. 11.238.000,00.</v>
      </c>
      <c r="D982" s="408"/>
      <c r="E982" s="408"/>
      <c r="F982" s="408"/>
      <c r="G982" s="408"/>
      <c r="H982" s="408"/>
      <c r="I982" s="408"/>
      <c r="J982" s="408"/>
      <c r="K982" s="408"/>
      <c r="L982" s="408"/>
      <c r="M982" s="408"/>
      <c r="N982" s="408"/>
      <c r="O982" s="408"/>
      <c r="P982" s="408"/>
      <c r="Q982" s="408"/>
      <c r="R982" s="408"/>
      <c r="S982" s="408"/>
      <c r="T982" s="408"/>
      <c r="U982" s="408"/>
      <c r="V982" s="23"/>
    </row>
    <row r="983" spans="1:32" s="16" customFormat="1" ht="21" customHeight="1" x14ac:dyDescent="0.2">
      <c r="A983" s="11"/>
      <c r="B983" s="125"/>
      <c r="C983" s="408" t="s">
        <v>463</v>
      </c>
      <c r="D983" s="408"/>
      <c r="E983" s="408"/>
      <c r="F983" s="408"/>
      <c r="G983" s="408"/>
      <c r="H983" s="408"/>
      <c r="I983" s="408"/>
      <c r="J983" s="408"/>
      <c r="K983" s="408"/>
      <c r="L983" s="408"/>
      <c r="M983" s="408"/>
      <c r="N983" s="408"/>
      <c r="O983" s="408"/>
      <c r="P983" s="408"/>
      <c r="Q983" s="408"/>
      <c r="R983" s="408"/>
      <c r="S983" s="408"/>
      <c r="T983" s="408"/>
      <c r="U983" s="408"/>
      <c r="V983" s="23"/>
    </row>
    <row r="984" spans="1:32" s="16" customFormat="1" ht="21" customHeight="1" x14ac:dyDescent="0.2">
      <c r="A984" s="11"/>
      <c r="B984" s="125"/>
      <c r="C984" s="408" t="str">
        <f>"Mutasi Kredit Rp. "&amp;FIXED(I979+O979)&amp;"."</f>
        <v>Mutasi Kredit Rp. 8.318.000,00.</v>
      </c>
      <c r="D984" s="408"/>
      <c r="E984" s="408"/>
      <c r="F984" s="408"/>
      <c r="G984" s="408"/>
      <c r="H984" s="408"/>
      <c r="I984" s="408"/>
      <c r="J984" s="408"/>
      <c r="K984" s="408"/>
      <c r="L984" s="408"/>
      <c r="M984" s="408"/>
      <c r="N984" s="408"/>
      <c r="O984" s="408"/>
      <c r="P984" s="408"/>
      <c r="Q984" s="408"/>
      <c r="R984" s="408"/>
      <c r="S984" s="408"/>
      <c r="T984" s="408"/>
      <c r="U984" s="408"/>
      <c r="V984" s="23"/>
    </row>
    <row r="985" spans="1:32" s="16" customFormat="1" ht="9" customHeight="1" x14ac:dyDescent="0.2">
      <c r="A985" s="5"/>
      <c r="B985" s="29"/>
      <c r="C985" s="20"/>
      <c r="D985" s="20"/>
      <c r="E985" s="20"/>
      <c r="F985" s="20"/>
      <c r="G985" s="20"/>
      <c r="H985" s="20"/>
      <c r="I985" s="20"/>
      <c r="J985" s="20"/>
      <c r="K985" s="20"/>
      <c r="L985" s="20"/>
      <c r="M985" s="20"/>
      <c r="N985" s="212"/>
      <c r="O985" s="212"/>
      <c r="P985" s="212"/>
      <c r="Q985" s="212"/>
      <c r="R985" s="212"/>
      <c r="S985" s="212"/>
      <c r="T985" s="212"/>
      <c r="U985" s="212"/>
      <c r="V985" s="23"/>
    </row>
    <row r="986" spans="1:32" s="16" customFormat="1" ht="17.25" customHeight="1" x14ac:dyDescent="0.2">
      <c r="A986" s="11"/>
      <c r="B986" s="202" t="s">
        <v>474</v>
      </c>
      <c r="C986" s="402" t="str">
        <f>'[1]4.NERACA'!C88</f>
        <v>Peralatan Pemancar</v>
      </c>
      <c r="D986" s="402"/>
      <c r="E986" s="402"/>
      <c r="F986" s="402"/>
      <c r="G986" s="402"/>
      <c r="H986" s="402"/>
      <c r="I986" s="402"/>
      <c r="J986" s="402"/>
      <c r="K986" s="402"/>
      <c r="L986" s="402"/>
      <c r="M986" s="402"/>
      <c r="N986" s="402"/>
      <c r="O986" s="402"/>
      <c r="P986" s="402"/>
      <c r="Q986" s="402"/>
      <c r="R986" s="402"/>
      <c r="S986" s="402"/>
      <c r="T986" s="402"/>
      <c r="U986" s="402"/>
      <c r="V986" s="23"/>
    </row>
    <row r="987" spans="1:32" s="16" customFormat="1" ht="64.5" customHeight="1" x14ac:dyDescent="0.2">
      <c r="A987" s="11"/>
      <c r="C987" s="407" t="str">
        <f>"Nilai aset tetap berupa alat pemancar  per "&amp;'[1]2.ISIAN DATA SKPD'!D8&amp;" dan  "&amp;'[1]2.ISIAN DATA SKPD'!D12&amp;" adalah sebesar Rp. "&amp;FIXED(R992)&amp;" dan Rp. "&amp;FIXED(B992)&amp; " tidak mengalami kenaikan/penurunan sebesar Rp. "&amp;FIXED(AC992)&amp;" atau sebesar "&amp;FIXED(Y992)&amp;"% dari tahun "&amp;'[1]2.ISIAN DATA SKPD'!D12&amp;"."</f>
        <v>Nilai aset tetap berupa alat pemancar  per 31 Desember 2018 dan  2017 adalah sebesar Rp. 0,00 dan Rp. 0,00 tidak mengalami kenaikan/penurunan sebesar Rp. 0,00 atau sebesar 0,00% dari tahun 2017.</v>
      </c>
      <c r="D987" s="407"/>
      <c r="E987" s="407"/>
      <c r="F987" s="407"/>
      <c r="G987" s="407"/>
      <c r="H987" s="407"/>
      <c r="I987" s="407"/>
      <c r="J987" s="407"/>
      <c r="K987" s="407"/>
      <c r="L987" s="407"/>
      <c r="M987" s="407"/>
      <c r="N987" s="407"/>
      <c r="O987" s="407"/>
      <c r="P987" s="407"/>
      <c r="Q987" s="407"/>
      <c r="R987" s="407"/>
      <c r="S987" s="407"/>
      <c r="T987" s="407"/>
      <c r="U987" s="407"/>
      <c r="V987" s="23"/>
    </row>
    <row r="988" spans="1:32" s="16" customFormat="1" ht="19.5" customHeight="1" x14ac:dyDescent="0.2">
      <c r="A988" s="11"/>
      <c r="B988" s="29"/>
      <c r="C988" s="407" t="str">
        <f>"Dengan mutasi  selama tahun "&amp;'[1]2.ISIAN DATA SKPD'!D11&amp;" sebagai berikut :"</f>
        <v>Dengan mutasi  selama tahun 2018 sebagai berikut :</v>
      </c>
      <c r="D988" s="407"/>
      <c r="E988" s="407"/>
      <c r="F988" s="407"/>
      <c r="G988" s="407"/>
      <c r="H988" s="407"/>
      <c r="I988" s="407"/>
      <c r="J988" s="407"/>
      <c r="K988" s="407"/>
      <c r="L988" s="407"/>
      <c r="M988" s="407"/>
      <c r="N988" s="407"/>
      <c r="O988" s="407"/>
      <c r="P988" s="407"/>
      <c r="Q988" s="407"/>
      <c r="R988" s="407"/>
      <c r="S988" s="407"/>
      <c r="T988" s="407"/>
      <c r="U988" s="407"/>
      <c r="V988" s="23"/>
    </row>
    <row r="989" spans="1:32" s="16" customFormat="1" ht="11.25" customHeight="1" x14ac:dyDescent="0.2">
      <c r="A989" s="11"/>
      <c r="B989" s="29"/>
      <c r="C989" s="77"/>
      <c r="D989" s="77"/>
      <c r="E989" s="77"/>
      <c r="F989" s="77"/>
      <c r="G989" s="77"/>
      <c r="H989" s="77"/>
      <c r="I989" s="77"/>
      <c r="J989" s="77"/>
      <c r="K989" s="77"/>
      <c r="L989" s="77"/>
      <c r="M989" s="77"/>
      <c r="N989" s="77"/>
      <c r="O989" s="77"/>
      <c r="P989" s="77"/>
      <c r="Q989" s="77"/>
      <c r="R989" s="77"/>
      <c r="S989" s="77"/>
      <c r="T989" s="77"/>
      <c r="U989" s="77"/>
      <c r="V989" s="23"/>
    </row>
    <row r="990" spans="1:32" s="16" customFormat="1" ht="15.75" customHeight="1" x14ac:dyDescent="0.2">
      <c r="A990" s="567" t="s">
        <v>125</v>
      </c>
      <c r="B990" s="600" t="s">
        <v>443</v>
      </c>
      <c r="C990" s="600"/>
      <c r="D990" s="600"/>
      <c r="E990" s="600"/>
      <c r="F990" s="605" t="s">
        <v>444</v>
      </c>
      <c r="G990" s="605"/>
      <c r="H990" s="605"/>
      <c r="I990" s="605"/>
      <c r="J990" s="605"/>
      <c r="K990" s="605"/>
      <c r="L990" s="605" t="s">
        <v>445</v>
      </c>
      <c r="M990" s="605"/>
      <c r="N990" s="605"/>
      <c r="O990" s="605"/>
      <c r="P990" s="605"/>
      <c r="Q990" s="605"/>
      <c r="R990" s="600" t="s">
        <v>446</v>
      </c>
      <c r="S990" s="600"/>
      <c r="T990" s="600"/>
      <c r="U990" s="600"/>
      <c r="V990" s="23"/>
    </row>
    <row r="991" spans="1:32" s="16" customFormat="1" ht="15.75" customHeight="1" x14ac:dyDescent="0.2">
      <c r="A991" s="568"/>
      <c r="B991" s="732">
        <f>B978</f>
        <v>2017</v>
      </c>
      <c r="C991" s="600"/>
      <c r="D991" s="600"/>
      <c r="E991" s="600"/>
      <c r="F991" s="600" t="s">
        <v>447</v>
      </c>
      <c r="G991" s="600"/>
      <c r="H991" s="600"/>
      <c r="I991" s="599" t="s">
        <v>448</v>
      </c>
      <c r="J991" s="599"/>
      <c r="K991" s="599"/>
      <c r="L991" s="600" t="s">
        <v>447</v>
      </c>
      <c r="M991" s="600"/>
      <c r="N991" s="600"/>
      <c r="O991" s="601" t="s">
        <v>448</v>
      </c>
      <c r="P991" s="601"/>
      <c r="Q991" s="601"/>
      <c r="R991" s="713">
        <f>R978</f>
        <v>2018</v>
      </c>
      <c r="S991" s="714"/>
      <c r="T991" s="714"/>
      <c r="U991" s="715"/>
      <c r="V991" s="487"/>
      <c r="W991" s="480"/>
      <c r="X991" s="480"/>
      <c r="Y991" s="471" t="s">
        <v>449</v>
      </c>
      <c r="Z991" s="480"/>
      <c r="AA991" s="480"/>
      <c r="AB991" s="480"/>
      <c r="AC991" s="488" t="s">
        <v>438</v>
      </c>
      <c r="AD991" s="489"/>
      <c r="AE991" s="489"/>
      <c r="AF991" s="489"/>
    </row>
    <row r="992" spans="1:32" s="16" customFormat="1" ht="28.5" customHeight="1" x14ac:dyDescent="0.2">
      <c r="A992" s="200" t="str">
        <f>C986</f>
        <v>Peralatan Pemancar</v>
      </c>
      <c r="B992" s="766">
        <f>'[1]4.NERACA'!D88</f>
        <v>0</v>
      </c>
      <c r="C992" s="767"/>
      <c r="D992" s="767"/>
      <c r="E992" s="767"/>
      <c r="F992" s="766">
        <f>'[1]4.NERACA'!E88</f>
        <v>0</v>
      </c>
      <c r="G992" s="767"/>
      <c r="H992" s="768"/>
      <c r="I992" s="769">
        <f>'[1]4.NERACA'!F88</f>
        <v>0</v>
      </c>
      <c r="J992" s="770"/>
      <c r="K992" s="771"/>
      <c r="L992" s="766">
        <f>'[1]4.NERACA'!G88</f>
        <v>0</v>
      </c>
      <c r="M992" s="767"/>
      <c r="N992" s="768"/>
      <c r="O992" s="766">
        <f>'[1]4.NERACA'!H88</f>
        <v>0</v>
      </c>
      <c r="P992" s="767"/>
      <c r="Q992" s="768"/>
      <c r="R992" s="772">
        <f>B992+F992-I992+L992-O992</f>
        <v>0</v>
      </c>
      <c r="S992" s="772"/>
      <c r="T992" s="772"/>
      <c r="U992" s="772"/>
      <c r="V992" s="479"/>
      <c r="W992" s="480"/>
      <c r="X992" s="480"/>
      <c r="Y992" s="471">
        <v>0</v>
      </c>
      <c r="Z992" s="480"/>
      <c r="AA992" s="480"/>
      <c r="AB992" s="480"/>
      <c r="AC992" s="471">
        <f>R992-B992</f>
        <v>0</v>
      </c>
      <c r="AD992" s="472"/>
      <c r="AE992" s="472"/>
      <c r="AF992" s="472"/>
    </row>
    <row r="993" spans="1:32" s="16" customFormat="1" ht="15" customHeight="1" x14ac:dyDescent="0.2">
      <c r="A993" s="11"/>
      <c r="B993" s="408" t="s">
        <v>461</v>
      </c>
      <c r="C993" s="408"/>
      <c r="D993" s="408"/>
      <c r="E993" s="408"/>
      <c r="F993" s="408"/>
      <c r="G993" s="408"/>
      <c r="H993" s="408"/>
      <c r="I993" s="408"/>
      <c r="J993" s="408"/>
      <c r="K993" s="408"/>
      <c r="L993" s="408"/>
      <c r="M993" s="408"/>
      <c r="N993" s="408"/>
      <c r="O993" s="408"/>
      <c r="P993" s="408"/>
      <c r="Q993" s="408"/>
      <c r="R993" s="408"/>
      <c r="S993" s="408"/>
      <c r="T993" s="408"/>
      <c r="U993" s="408"/>
      <c r="V993" s="23"/>
    </row>
    <row r="994" spans="1:32" s="16" customFormat="1" ht="15" customHeight="1" x14ac:dyDescent="0.2">
      <c r="A994" s="11"/>
      <c r="B994" s="125"/>
      <c r="C994" s="408" t="s">
        <v>462</v>
      </c>
      <c r="D994" s="408"/>
      <c r="E994" s="408"/>
      <c r="F994" s="408"/>
      <c r="G994" s="408"/>
      <c r="H994" s="408"/>
      <c r="I994" s="408"/>
      <c r="J994" s="408"/>
      <c r="K994" s="408"/>
      <c r="L994" s="408"/>
      <c r="M994" s="408"/>
      <c r="N994" s="408"/>
      <c r="O994" s="408"/>
      <c r="P994" s="408"/>
      <c r="Q994" s="408"/>
      <c r="R994" s="408"/>
      <c r="S994" s="408"/>
      <c r="T994" s="408"/>
      <c r="U994" s="408"/>
      <c r="V994" s="23"/>
    </row>
    <row r="995" spans="1:32" s="16" customFormat="1" ht="21" customHeight="1" x14ac:dyDescent="0.2">
      <c r="A995" s="11"/>
      <c r="B995" s="125"/>
      <c r="C995" s="408" t="str">
        <f>"Mutasi Debet sebesar Rp. "&amp;FIXED(F992+L992)&amp;" ."</f>
        <v>Mutasi Debet sebesar Rp. 0,00 .</v>
      </c>
      <c r="D995" s="408"/>
      <c r="E995" s="408"/>
      <c r="F995" s="408"/>
      <c r="G995" s="408"/>
      <c r="H995" s="408"/>
      <c r="I995" s="408"/>
      <c r="J995" s="408"/>
      <c r="K995" s="408"/>
      <c r="L995" s="408"/>
      <c r="M995" s="408"/>
      <c r="N995" s="408"/>
      <c r="O995" s="408"/>
      <c r="P995" s="408"/>
      <c r="Q995" s="408"/>
      <c r="R995" s="408"/>
      <c r="S995" s="408"/>
      <c r="T995" s="408"/>
      <c r="U995" s="408"/>
      <c r="V995" s="23"/>
    </row>
    <row r="996" spans="1:32" s="16" customFormat="1" ht="15" customHeight="1" x14ac:dyDescent="0.2">
      <c r="A996" s="11"/>
      <c r="B996" s="125"/>
      <c r="C996" s="408" t="s">
        <v>463</v>
      </c>
      <c r="D996" s="408"/>
      <c r="E996" s="408"/>
      <c r="F996" s="408"/>
      <c r="G996" s="408"/>
      <c r="H996" s="408"/>
      <c r="I996" s="408"/>
      <c r="J996" s="408"/>
      <c r="K996" s="408"/>
      <c r="L996" s="408"/>
      <c r="M996" s="408"/>
      <c r="N996" s="408"/>
      <c r="O996" s="408"/>
      <c r="P996" s="408"/>
      <c r="Q996" s="408"/>
      <c r="R996" s="408"/>
      <c r="S996" s="408"/>
      <c r="T996" s="408"/>
      <c r="U996" s="408"/>
      <c r="V996" s="23"/>
    </row>
    <row r="997" spans="1:32" s="16" customFormat="1" ht="22.5" customHeight="1" x14ac:dyDescent="0.2">
      <c r="A997" s="11"/>
      <c r="B997" s="125"/>
      <c r="C997" s="408" t="str">
        <f>"Mutasi Kredit Rp. "&amp;FIXED(I992+O992)&amp;"."</f>
        <v>Mutasi Kredit Rp. 0,00.</v>
      </c>
      <c r="D997" s="408"/>
      <c r="E997" s="408"/>
      <c r="F997" s="408"/>
      <c r="G997" s="408"/>
      <c r="H997" s="408"/>
      <c r="I997" s="408"/>
      <c r="J997" s="408"/>
      <c r="K997" s="408"/>
      <c r="L997" s="408"/>
      <c r="M997" s="408"/>
      <c r="N997" s="408"/>
      <c r="O997" s="408"/>
      <c r="P997" s="408"/>
      <c r="Q997" s="408"/>
      <c r="R997" s="408"/>
      <c r="S997" s="408"/>
      <c r="T997" s="408"/>
      <c r="U997" s="408"/>
      <c r="V997" s="23"/>
    </row>
    <row r="998" spans="1:32" s="16" customFormat="1" ht="22.5" customHeight="1" x14ac:dyDescent="0.2">
      <c r="A998" s="11"/>
      <c r="B998" s="125"/>
      <c r="C998" s="37"/>
      <c r="D998" s="37"/>
      <c r="E998" s="37"/>
      <c r="F998" s="37"/>
      <c r="G998" s="37"/>
      <c r="H998" s="37"/>
      <c r="I998" s="37"/>
      <c r="J998" s="37"/>
      <c r="K998" s="37"/>
      <c r="L998" s="37"/>
      <c r="M998" s="37"/>
      <c r="N998" s="37"/>
      <c r="O998" s="37"/>
      <c r="P998" s="37"/>
      <c r="Q998" s="37"/>
      <c r="R998" s="37"/>
      <c r="S998" s="37"/>
      <c r="T998" s="37"/>
      <c r="U998" s="37"/>
      <c r="V998" s="23"/>
    </row>
    <row r="999" spans="1:32" s="16" customFormat="1" ht="22.5" customHeight="1" x14ac:dyDescent="0.2">
      <c r="A999" s="11"/>
      <c r="B999" s="125"/>
      <c r="C999" s="37"/>
      <c r="D999" s="37"/>
      <c r="E999" s="37"/>
      <c r="F999" s="37"/>
      <c r="G999" s="37"/>
      <c r="H999" s="37"/>
      <c r="I999" s="37"/>
      <c r="J999" s="37"/>
      <c r="K999" s="37"/>
      <c r="L999" s="37"/>
      <c r="M999" s="37"/>
      <c r="N999" s="37"/>
      <c r="O999" s="37"/>
      <c r="P999" s="37"/>
      <c r="Q999" s="37"/>
      <c r="R999" s="37"/>
      <c r="S999" s="37"/>
      <c r="T999" s="37"/>
      <c r="U999" s="37"/>
      <c r="V999" s="23"/>
    </row>
    <row r="1000" spans="1:32" s="16" customFormat="1" ht="15" customHeight="1" x14ac:dyDescent="0.2">
      <c r="A1000" s="5"/>
      <c r="B1000" s="29"/>
      <c r="C1000" s="20"/>
      <c r="D1000" s="20"/>
      <c r="E1000" s="20"/>
      <c r="F1000" s="20"/>
      <c r="G1000" s="20"/>
      <c r="H1000" s="20"/>
      <c r="I1000" s="20"/>
      <c r="J1000" s="20"/>
      <c r="K1000" s="20"/>
      <c r="L1000" s="20"/>
      <c r="M1000" s="20"/>
      <c r="N1000" s="212"/>
      <c r="O1000" s="212"/>
      <c r="P1000" s="212"/>
      <c r="Q1000" s="212"/>
      <c r="R1000" s="212"/>
      <c r="S1000" s="212"/>
      <c r="T1000" s="212"/>
      <c r="U1000" s="212"/>
      <c r="V1000" s="23"/>
    </row>
    <row r="1001" spans="1:32" s="16" customFormat="1" ht="18.75" customHeight="1" x14ac:dyDescent="0.2">
      <c r="A1001" s="11"/>
      <c r="B1001" s="202" t="s">
        <v>475</v>
      </c>
      <c r="C1001" s="402" t="str">
        <f>'[1]4.NERACA'!C89</f>
        <v>Alat Kedokteran</v>
      </c>
      <c r="D1001" s="402"/>
      <c r="E1001" s="402"/>
      <c r="F1001" s="402"/>
      <c r="G1001" s="402"/>
      <c r="H1001" s="402"/>
      <c r="I1001" s="402"/>
      <c r="J1001" s="402"/>
      <c r="K1001" s="402"/>
      <c r="L1001" s="402"/>
      <c r="M1001" s="402"/>
      <c r="N1001" s="402"/>
      <c r="O1001" s="402"/>
      <c r="P1001" s="402"/>
      <c r="Q1001" s="402"/>
      <c r="R1001" s="402"/>
      <c r="S1001" s="402"/>
      <c r="T1001" s="402"/>
      <c r="U1001" s="402"/>
      <c r="V1001" s="23"/>
    </row>
    <row r="1002" spans="1:32" s="16" customFormat="1" ht="64.5" customHeight="1" x14ac:dyDescent="0.2">
      <c r="A1002" s="11"/>
      <c r="C1002" s="407" t="str">
        <f>"Nilai aset tetap berupa alat kedokteran  per "&amp;'[1]2.ISIAN DATA SKPD'!D8&amp;" dan  "&amp;'[1]2.ISIAN DATA SKPD'!D12&amp;" adalah sebesar Rp. "&amp;FIXED(R1007)&amp;" dan Rp. "&amp;FIXED(B1007)&amp;" tidak mengalami kenaikan/penurunan sebesar Rp "&amp;FIXED(AC1007)&amp;" atau sebesar "&amp;FIXED(Y1007)&amp;"%  dari tahun "&amp;'[1]2.ISIAN DATA SKPD'!D12&amp;"."</f>
        <v>Nilai aset tetap berupa alat kedokteran  per 31 Desember 2018 dan  2017 adalah sebesar Rp. 0,00 dan Rp. 0,00 tidak mengalami kenaikan/penurunan sebesar Rp 0,00 atau sebesar 0,00%  dari tahun 2017.</v>
      </c>
      <c r="D1002" s="407"/>
      <c r="E1002" s="407"/>
      <c r="F1002" s="407"/>
      <c r="G1002" s="407"/>
      <c r="H1002" s="407"/>
      <c r="I1002" s="407"/>
      <c r="J1002" s="407"/>
      <c r="K1002" s="407"/>
      <c r="L1002" s="407"/>
      <c r="M1002" s="407"/>
      <c r="N1002" s="407"/>
      <c r="O1002" s="407"/>
      <c r="P1002" s="407"/>
      <c r="Q1002" s="407"/>
      <c r="R1002" s="407"/>
      <c r="S1002" s="407"/>
      <c r="T1002" s="407"/>
      <c r="U1002" s="407"/>
      <c r="V1002" s="23"/>
    </row>
    <row r="1003" spans="1:32" s="16" customFormat="1" ht="19.5" customHeight="1" x14ac:dyDescent="0.2">
      <c r="A1003" s="11"/>
      <c r="C1003" s="407" t="str">
        <f>"Dengan mutasi  selama tahun "&amp;'[1]2.ISIAN DATA SKPD'!D11&amp;" sebagai berikut :"</f>
        <v>Dengan mutasi  selama tahun 2018 sebagai berikut :</v>
      </c>
      <c r="D1003" s="407"/>
      <c r="E1003" s="407"/>
      <c r="F1003" s="407"/>
      <c r="G1003" s="407"/>
      <c r="H1003" s="407"/>
      <c r="I1003" s="407"/>
      <c r="J1003" s="407"/>
      <c r="K1003" s="407"/>
      <c r="L1003" s="407"/>
      <c r="M1003" s="407"/>
      <c r="N1003" s="407"/>
      <c r="O1003" s="407"/>
      <c r="P1003" s="407"/>
      <c r="Q1003" s="407"/>
      <c r="R1003" s="407"/>
      <c r="S1003" s="407"/>
      <c r="T1003" s="407"/>
      <c r="U1003" s="407"/>
      <c r="V1003" s="23"/>
    </row>
    <row r="1004" spans="1:32" s="16" customFormat="1" ht="19.5" customHeight="1" x14ac:dyDescent="0.2">
      <c r="A1004" s="11"/>
      <c r="C1004" s="77"/>
      <c r="D1004" s="77"/>
      <c r="E1004" s="77"/>
      <c r="F1004" s="77"/>
      <c r="G1004" s="77"/>
      <c r="H1004" s="77"/>
      <c r="I1004" s="77"/>
      <c r="J1004" s="77"/>
      <c r="K1004" s="77"/>
      <c r="L1004" s="77"/>
      <c r="M1004" s="77"/>
      <c r="N1004" s="77"/>
      <c r="O1004" s="77"/>
      <c r="P1004" s="77"/>
      <c r="Q1004" s="77"/>
      <c r="R1004" s="77"/>
      <c r="S1004" s="77"/>
      <c r="T1004" s="77"/>
      <c r="U1004" s="77"/>
      <c r="V1004" s="23"/>
    </row>
    <row r="1005" spans="1:32" s="16" customFormat="1" ht="15.75" customHeight="1" x14ac:dyDescent="0.2">
      <c r="A1005" s="567" t="s">
        <v>125</v>
      </c>
      <c r="B1005" s="600" t="s">
        <v>443</v>
      </c>
      <c r="C1005" s="600"/>
      <c r="D1005" s="600"/>
      <c r="E1005" s="600"/>
      <c r="F1005" s="605" t="s">
        <v>444</v>
      </c>
      <c r="G1005" s="605"/>
      <c r="H1005" s="605"/>
      <c r="I1005" s="605"/>
      <c r="J1005" s="605"/>
      <c r="K1005" s="605"/>
      <c r="L1005" s="605" t="s">
        <v>445</v>
      </c>
      <c r="M1005" s="605"/>
      <c r="N1005" s="605"/>
      <c r="O1005" s="605"/>
      <c r="P1005" s="605"/>
      <c r="Q1005" s="605"/>
      <c r="R1005" s="600" t="s">
        <v>446</v>
      </c>
      <c r="S1005" s="600"/>
      <c r="T1005" s="600"/>
      <c r="U1005" s="600"/>
      <c r="V1005" s="23"/>
    </row>
    <row r="1006" spans="1:32" s="16" customFormat="1" ht="15.75" customHeight="1" x14ac:dyDescent="0.2">
      <c r="A1006" s="568"/>
      <c r="B1006" s="616">
        <f>B991</f>
        <v>2017</v>
      </c>
      <c r="C1006" s="617"/>
      <c r="D1006" s="617"/>
      <c r="E1006" s="618"/>
      <c r="F1006" s="602" t="s">
        <v>447</v>
      </c>
      <c r="G1006" s="603"/>
      <c r="H1006" s="604"/>
      <c r="I1006" s="725" t="s">
        <v>448</v>
      </c>
      <c r="J1006" s="726"/>
      <c r="K1006" s="727"/>
      <c r="L1006" s="602" t="s">
        <v>447</v>
      </c>
      <c r="M1006" s="603"/>
      <c r="N1006" s="604"/>
      <c r="O1006" s="722" t="s">
        <v>448</v>
      </c>
      <c r="P1006" s="723"/>
      <c r="Q1006" s="724"/>
      <c r="R1006" s="713">
        <f>R991</f>
        <v>2018</v>
      </c>
      <c r="S1006" s="714"/>
      <c r="T1006" s="714"/>
      <c r="U1006" s="715"/>
      <c r="V1006" s="487"/>
      <c r="W1006" s="480"/>
      <c r="X1006" s="480"/>
      <c r="Y1006" s="471" t="s">
        <v>449</v>
      </c>
      <c r="Z1006" s="480"/>
      <c r="AA1006" s="480"/>
      <c r="AB1006" s="480"/>
      <c r="AC1006" s="488" t="s">
        <v>438</v>
      </c>
      <c r="AD1006" s="489"/>
      <c r="AE1006" s="489"/>
      <c r="AF1006" s="489"/>
    </row>
    <row r="1007" spans="1:32" s="16" customFormat="1" ht="15.75" customHeight="1" x14ac:dyDescent="0.2">
      <c r="A1007" s="200" t="str">
        <f>C1001</f>
        <v>Alat Kedokteran</v>
      </c>
      <c r="B1007" s="766">
        <f>'[1]4.NERACA'!D89</f>
        <v>0</v>
      </c>
      <c r="C1007" s="767"/>
      <c r="D1007" s="767"/>
      <c r="E1007" s="768"/>
      <c r="F1007" s="766">
        <f>'[1]4.NERACA'!E89</f>
        <v>0</v>
      </c>
      <c r="G1007" s="767"/>
      <c r="H1007" s="768"/>
      <c r="I1007" s="769">
        <f>'[1]4.NERACA'!F89</f>
        <v>0</v>
      </c>
      <c r="J1007" s="770"/>
      <c r="K1007" s="771"/>
      <c r="L1007" s="766">
        <f>'[1]4.NERACA'!G89</f>
        <v>0</v>
      </c>
      <c r="M1007" s="767"/>
      <c r="N1007" s="768"/>
      <c r="O1007" s="766">
        <f>'[1]4.NERACA'!H89</f>
        <v>0</v>
      </c>
      <c r="P1007" s="767"/>
      <c r="Q1007" s="768"/>
      <c r="R1007" s="772">
        <f>B1007+F1007-I1007+L1007-O1007</f>
        <v>0</v>
      </c>
      <c r="S1007" s="772"/>
      <c r="T1007" s="772"/>
      <c r="U1007" s="772"/>
      <c r="V1007" s="479"/>
      <c r="W1007" s="480"/>
      <c r="X1007" s="480"/>
      <c r="Y1007" s="471">
        <v>0</v>
      </c>
      <c r="Z1007" s="480"/>
      <c r="AA1007" s="480"/>
      <c r="AB1007" s="480"/>
      <c r="AC1007" s="471">
        <f>R1007-B1007</f>
        <v>0</v>
      </c>
      <c r="AD1007" s="472"/>
      <c r="AE1007" s="472"/>
      <c r="AF1007" s="472"/>
    </row>
    <row r="1008" spans="1:32" s="16" customFormat="1" ht="22.5" customHeight="1" x14ac:dyDescent="0.2">
      <c r="A1008" s="11"/>
      <c r="B1008" s="669" t="s">
        <v>461</v>
      </c>
      <c r="C1008" s="669"/>
      <c r="D1008" s="669"/>
      <c r="E1008" s="669"/>
      <c r="F1008" s="669"/>
      <c r="G1008" s="669"/>
      <c r="H1008" s="669"/>
      <c r="I1008" s="669"/>
      <c r="J1008" s="669"/>
      <c r="K1008" s="669"/>
      <c r="L1008" s="669"/>
      <c r="M1008" s="669"/>
      <c r="N1008" s="669"/>
      <c r="O1008" s="669"/>
      <c r="P1008" s="669"/>
      <c r="Q1008" s="669"/>
      <c r="R1008" s="669"/>
      <c r="S1008" s="669"/>
      <c r="T1008" s="669"/>
      <c r="U1008" s="669"/>
      <c r="V1008" s="23"/>
    </row>
    <row r="1009" spans="1:32" s="16" customFormat="1" ht="22.5" customHeight="1" x14ac:dyDescent="0.2">
      <c r="A1009" s="11"/>
      <c r="B1009" s="125"/>
      <c r="C1009" s="408" t="s">
        <v>462</v>
      </c>
      <c r="D1009" s="408"/>
      <c r="E1009" s="408"/>
      <c r="F1009" s="408"/>
      <c r="G1009" s="408"/>
      <c r="H1009" s="408"/>
      <c r="I1009" s="408"/>
      <c r="J1009" s="408"/>
      <c r="K1009" s="408"/>
      <c r="L1009" s="408"/>
      <c r="M1009" s="408"/>
      <c r="N1009" s="408"/>
      <c r="O1009" s="408"/>
      <c r="P1009" s="408"/>
      <c r="Q1009" s="408"/>
      <c r="R1009" s="408"/>
      <c r="S1009" s="408"/>
      <c r="T1009" s="408"/>
      <c r="U1009" s="408"/>
      <c r="V1009" s="23"/>
    </row>
    <row r="1010" spans="1:32" s="16" customFormat="1" ht="32.25" customHeight="1" x14ac:dyDescent="0.2">
      <c r="A1010" s="11"/>
      <c r="B1010" s="125"/>
      <c r="C1010" s="408" t="str">
        <f>"Mutasi Debet sebesar Rp. "&amp;FIXED(F1007+L1007)&amp;" adalah hasil pengadaan barang tahun "&amp;'[1]2.ISIAN DATA SKPD'!D11&amp;" tidak ada penambahan aset"</f>
        <v>Mutasi Debet sebesar Rp. 0,00 adalah hasil pengadaan barang tahun 2018 tidak ada penambahan aset</v>
      </c>
      <c r="D1010" s="408"/>
      <c r="E1010" s="408"/>
      <c r="F1010" s="408"/>
      <c r="G1010" s="408"/>
      <c r="H1010" s="408"/>
      <c r="I1010" s="408"/>
      <c r="J1010" s="408"/>
      <c r="K1010" s="408"/>
      <c r="L1010" s="408"/>
      <c r="M1010" s="408"/>
      <c r="N1010" s="408"/>
      <c r="O1010" s="408"/>
      <c r="P1010" s="408"/>
      <c r="Q1010" s="408"/>
      <c r="R1010" s="408"/>
      <c r="S1010" s="408"/>
      <c r="T1010" s="408"/>
      <c r="U1010" s="408"/>
      <c r="V1010" s="23"/>
    </row>
    <row r="1011" spans="1:32" s="16" customFormat="1" ht="22.5" customHeight="1" x14ac:dyDescent="0.2">
      <c r="A1011" s="11"/>
      <c r="B1011" s="125"/>
      <c r="C1011" s="408" t="s">
        <v>463</v>
      </c>
      <c r="D1011" s="408"/>
      <c r="E1011" s="408"/>
      <c r="F1011" s="408"/>
      <c r="G1011" s="408"/>
      <c r="H1011" s="408"/>
      <c r="I1011" s="408"/>
      <c r="J1011" s="408"/>
      <c r="K1011" s="408"/>
      <c r="L1011" s="408"/>
      <c r="M1011" s="408"/>
      <c r="N1011" s="408"/>
      <c r="O1011" s="408"/>
      <c r="P1011" s="408"/>
      <c r="Q1011" s="408"/>
      <c r="R1011" s="408"/>
      <c r="S1011" s="408"/>
      <c r="T1011" s="408"/>
      <c r="U1011" s="408"/>
      <c r="V1011" s="23"/>
    </row>
    <row r="1012" spans="1:32" s="16" customFormat="1" ht="21" customHeight="1" x14ac:dyDescent="0.2">
      <c r="A1012" s="11"/>
      <c r="B1012" s="125"/>
      <c r="C1012" s="408" t="str">
        <f>"Mutasi Kredit Rp. "&amp;FIXED(I1007+O1007)&amp;"."</f>
        <v>Mutasi Kredit Rp. 0,00.</v>
      </c>
      <c r="D1012" s="408"/>
      <c r="E1012" s="408"/>
      <c r="F1012" s="408"/>
      <c r="G1012" s="408"/>
      <c r="H1012" s="408"/>
      <c r="I1012" s="408"/>
      <c r="J1012" s="408"/>
      <c r="K1012" s="408"/>
      <c r="L1012" s="408"/>
      <c r="M1012" s="408"/>
      <c r="N1012" s="408"/>
      <c r="O1012" s="408"/>
      <c r="P1012" s="408"/>
      <c r="Q1012" s="408"/>
      <c r="R1012" s="408"/>
      <c r="S1012" s="408"/>
      <c r="T1012" s="408"/>
      <c r="U1012" s="408"/>
      <c r="V1012" s="23"/>
    </row>
    <row r="1013" spans="1:32" s="16" customFormat="1" ht="12" customHeight="1" x14ac:dyDescent="0.2">
      <c r="A1013" s="11"/>
      <c r="B1013" s="29"/>
      <c r="C1013" s="20"/>
      <c r="D1013" s="20"/>
      <c r="E1013" s="20"/>
      <c r="F1013" s="20"/>
      <c r="G1013" s="20"/>
      <c r="H1013" s="20"/>
      <c r="I1013" s="20"/>
      <c r="J1013" s="20"/>
      <c r="K1013" s="20"/>
      <c r="L1013" s="20"/>
      <c r="M1013" s="20"/>
      <c r="N1013" s="20"/>
      <c r="O1013" s="20"/>
      <c r="P1013" s="20"/>
      <c r="Q1013" s="20"/>
      <c r="R1013" s="20"/>
      <c r="S1013" s="20"/>
      <c r="T1013" s="20"/>
      <c r="U1013" s="20"/>
      <c r="V1013" s="23"/>
    </row>
    <row r="1014" spans="1:32" s="16" customFormat="1" ht="22.5" customHeight="1" x14ac:dyDescent="0.2">
      <c r="A1014" s="11"/>
      <c r="B1014" s="202" t="s">
        <v>476</v>
      </c>
      <c r="C1014" s="402" t="str">
        <f>'[1]4.NERACA'!C90</f>
        <v>Alat Kesehatan</v>
      </c>
      <c r="D1014" s="402"/>
      <c r="E1014" s="402"/>
      <c r="F1014" s="402"/>
      <c r="G1014" s="402"/>
      <c r="H1014" s="402"/>
      <c r="I1014" s="402"/>
      <c r="J1014" s="402"/>
      <c r="K1014" s="402"/>
      <c r="L1014" s="402"/>
      <c r="M1014" s="402"/>
      <c r="N1014" s="402"/>
      <c r="O1014" s="402"/>
      <c r="P1014" s="402"/>
      <c r="Q1014" s="402"/>
      <c r="R1014" s="402"/>
      <c r="S1014" s="402"/>
      <c r="T1014" s="402"/>
      <c r="U1014" s="402"/>
      <c r="V1014" s="23"/>
    </row>
    <row r="1015" spans="1:32" s="16" customFormat="1" ht="63.75" customHeight="1" x14ac:dyDescent="0.2">
      <c r="A1015" s="11"/>
      <c r="C1015" s="407" t="str">
        <f>"Nilai aset tetap berupa alat kesehatan  per "&amp;'[1]2.ISIAN DATA SKPD'!D8&amp;" dan  "&amp;'[1]2.ISIAN DATA SKPD'!D12&amp;" adalah sebesar Rp. "&amp;FIXED(R1020)&amp;" dan Rp. "&amp;FIXED(B1020)&amp;" tidak mengalami kenaikan/penurunan sebesar Rp. "&amp;FIXED(AC1020)&amp;" atau sebesar "&amp;FIXED(Y1020)&amp;"% dari tahun "&amp;'[1]2.ISIAN DATA SKPD'!D12&amp;"."</f>
        <v>Nilai aset tetap berupa alat kesehatan  per 31 Desember 2018 dan  2017 adalah sebesar Rp. 0,00 dan Rp. 0,00 tidak mengalami kenaikan/penurunan sebesar Rp. 0,00 atau sebesar 0,00% dari tahun 2017.</v>
      </c>
      <c r="D1015" s="407"/>
      <c r="E1015" s="407"/>
      <c r="F1015" s="407"/>
      <c r="G1015" s="407"/>
      <c r="H1015" s="407"/>
      <c r="I1015" s="407"/>
      <c r="J1015" s="407"/>
      <c r="K1015" s="407"/>
      <c r="L1015" s="407"/>
      <c r="M1015" s="407"/>
      <c r="N1015" s="407"/>
      <c r="O1015" s="407"/>
      <c r="P1015" s="407"/>
      <c r="Q1015" s="407"/>
      <c r="R1015" s="407"/>
      <c r="S1015" s="407"/>
      <c r="T1015" s="407"/>
      <c r="U1015" s="407"/>
      <c r="V1015" s="23"/>
    </row>
    <row r="1016" spans="1:32" s="16" customFormat="1" ht="18.75" customHeight="1" x14ac:dyDescent="0.2">
      <c r="A1016" s="11"/>
      <c r="C1016" s="407" t="str">
        <f>"Dengan mutasi  selama tahun "&amp;'[1]2.ISIAN DATA SKPD'!D11&amp;" sebagai berikut :"</f>
        <v>Dengan mutasi  selama tahun 2018 sebagai berikut :</v>
      </c>
      <c r="D1016" s="407"/>
      <c r="E1016" s="407"/>
      <c r="F1016" s="407"/>
      <c r="G1016" s="407"/>
      <c r="H1016" s="407"/>
      <c r="I1016" s="407"/>
      <c r="J1016" s="407"/>
      <c r="K1016" s="407"/>
      <c r="L1016" s="407"/>
      <c r="M1016" s="407"/>
      <c r="N1016" s="407"/>
      <c r="O1016" s="407"/>
      <c r="P1016" s="407"/>
      <c r="Q1016" s="407"/>
      <c r="R1016" s="407"/>
      <c r="S1016" s="407"/>
      <c r="T1016" s="407"/>
      <c r="U1016" s="407"/>
      <c r="V1016" s="23"/>
    </row>
    <row r="1017" spans="1:32" s="16" customFormat="1" ht="9" customHeight="1" x14ac:dyDescent="0.2">
      <c r="A1017" s="11"/>
      <c r="C1017" s="77"/>
      <c r="D1017" s="77"/>
      <c r="E1017" s="77"/>
      <c r="F1017" s="77"/>
      <c r="G1017" s="77"/>
      <c r="H1017" s="77"/>
      <c r="I1017" s="77"/>
      <c r="J1017" s="77"/>
      <c r="K1017" s="77"/>
      <c r="L1017" s="77"/>
      <c r="M1017" s="77"/>
      <c r="N1017" s="77"/>
      <c r="O1017" s="77"/>
      <c r="P1017" s="77"/>
      <c r="Q1017" s="77"/>
      <c r="R1017" s="77"/>
      <c r="S1017" s="77"/>
      <c r="T1017" s="77"/>
      <c r="U1017" s="77"/>
      <c r="V1017" s="23"/>
    </row>
    <row r="1018" spans="1:32" s="16" customFormat="1" ht="18" customHeight="1" x14ac:dyDescent="0.2">
      <c r="A1018" s="567" t="s">
        <v>125</v>
      </c>
      <c r="B1018" s="562" t="s">
        <v>443</v>
      </c>
      <c r="C1018" s="562"/>
      <c r="D1018" s="562"/>
      <c r="E1018" s="562"/>
      <c r="F1018" s="572" t="s">
        <v>444</v>
      </c>
      <c r="G1018" s="572"/>
      <c r="H1018" s="572"/>
      <c r="I1018" s="572"/>
      <c r="J1018" s="572"/>
      <c r="K1018" s="572"/>
      <c r="L1018" s="572" t="s">
        <v>445</v>
      </c>
      <c r="M1018" s="572"/>
      <c r="N1018" s="572"/>
      <c r="O1018" s="572"/>
      <c r="P1018" s="572"/>
      <c r="Q1018" s="572"/>
      <c r="R1018" s="562" t="s">
        <v>446</v>
      </c>
      <c r="S1018" s="562"/>
      <c r="T1018" s="562"/>
      <c r="U1018" s="562"/>
      <c r="V1018" s="23"/>
    </row>
    <row r="1019" spans="1:32" s="16" customFormat="1" ht="18" customHeight="1" x14ac:dyDescent="0.2">
      <c r="A1019" s="568"/>
      <c r="B1019" s="764">
        <f>B1006</f>
        <v>2017</v>
      </c>
      <c r="C1019" s="562"/>
      <c r="D1019" s="562"/>
      <c r="E1019" s="562"/>
      <c r="F1019" s="562" t="s">
        <v>447</v>
      </c>
      <c r="G1019" s="562"/>
      <c r="H1019" s="562"/>
      <c r="I1019" s="573" t="s">
        <v>448</v>
      </c>
      <c r="J1019" s="573"/>
      <c r="K1019" s="573"/>
      <c r="L1019" s="562" t="s">
        <v>447</v>
      </c>
      <c r="M1019" s="562"/>
      <c r="N1019" s="562"/>
      <c r="O1019" s="563" t="s">
        <v>448</v>
      </c>
      <c r="P1019" s="563"/>
      <c r="Q1019" s="563"/>
      <c r="R1019" s="713">
        <f>R1006</f>
        <v>2018</v>
      </c>
      <c r="S1019" s="714"/>
      <c r="T1019" s="714"/>
      <c r="U1019" s="715"/>
      <c r="V1019" s="487"/>
      <c r="W1019" s="480"/>
      <c r="X1019" s="480"/>
      <c r="Y1019" s="471" t="s">
        <v>449</v>
      </c>
      <c r="Z1019" s="480"/>
      <c r="AA1019" s="480"/>
      <c r="AB1019" s="480"/>
      <c r="AC1019" s="488" t="s">
        <v>438</v>
      </c>
      <c r="AD1019" s="489"/>
      <c r="AE1019" s="489"/>
      <c r="AF1019" s="489"/>
    </row>
    <row r="1020" spans="1:32" s="16" customFormat="1" ht="25.5" customHeight="1" x14ac:dyDescent="0.2">
      <c r="A1020" s="200" t="str">
        <f>C1014</f>
        <v>Alat Kesehatan</v>
      </c>
      <c r="B1020" s="766">
        <f>'[1]4.NERACA'!D90</f>
        <v>0</v>
      </c>
      <c r="C1020" s="767"/>
      <c r="D1020" s="767"/>
      <c r="E1020" s="767"/>
      <c r="F1020" s="766">
        <f>'[1]4.NERACA'!E90</f>
        <v>0</v>
      </c>
      <c r="G1020" s="767"/>
      <c r="H1020" s="768"/>
      <c r="I1020" s="769">
        <f>'[1]4.NERACA'!F90</f>
        <v>0</v>
      </c>
      <c r="J1020" s="770"/>
      <c r="K1020" s="771"/>
      <c r="L1020" s="766">
        <f>'[1]4.NERACA'!G90</f>
        <v>0</v>
      </c>
      <c r="M1020" s="767"/>
      <c r="N1020" s="768"/>
      <c r="O1020" s="766">
        <f>'[1]4.NERACA'!H90</f>
        <v>0</v>
      </c>
      <c r="P1020" s="767"/>
      <c r="Q1020" s="768"/>
      <c r="R1020" s="772">
        <f>B1020+F1020-I1020+L1020-O1020</f>
        <v>0</v>
      </c>
      <c r="S1020" s="772"/>
      <c r="T1020" s="772"/>
      <c r="U1020" s="772"/>
      <c r="V1020" s="479"/>
      <c r="W1020" s="480"/>
      <c r="X1020" s="480"/>
      <c r="Y1020" s="471">
        <v>0</v>
      </c>
      <c r="Z1020" s="480"/>
      <c r="AA1020" s="480"/>
      <c r="AB1020" s="480"/>
      <c r="AC1020" s="471">
        <f>R1020-B1020</f>
        <v>0</v>
      </c>
      <c r="AD1020" s="472"/>
      <c r="AE1020" s="472"/>
      <c r="AF1020" s="472"/>
    </row>
    <row r="1021" spans="1:32" s="16" customFormat="1" ht="16.5" customHeight="1" x14ac:dyDescent="0.2">
      <c r="A1021" s="11"/>
      <c r="B1021" s="408" t="s">
        <v>461</v>
      </c>
      <c r="C1021" s="408"/>
      <c r="D1021" s="408"/>
      <c r="E1021" s="408"/>
      <c r="F1021" s="408"/>
      <c r="G1021" s="408"/>
      <c r="H1021" s="408"/>
      <c r="I1021" s="408"/>
      <c r="J1021" s="408"/>
      <c r="K1021" s="408"/>
      <c r="L1021" s="408"/>
      <c r="M1021" s="408"/>
      <c r="N1021" s="408"/>
      <c r="O1021" s="408"/>
      <c r="P1021" s="408"/>
      <c r="Q1021" s="408"/>
      <c r="R1021" s="408"/>
      <c r="S1021" s="408"/>
      <c r="T1021" s="408"/>
      <c r="U1021" s="408"/>
      <c r="V1021" s="23"/>
    </row>
    <row r="1022" spans="1:32" s="16" customFormat="1" ht="22.5" customHeight="1" x14ac:dyDescent="0.2">
      <c r="A1022" s="11"/>
      <c r="B1022" s="125"/>
      <c r="C1022" s="408" t="s">
        <v>462</v>
      </c>
      <c r="D1022" s="408"/>
      <c r="E1022" s="408"/>
      <c r="F1022" s="408"/>
      <c r="G1022" s="408"/>
      <c r="H1022" s="408"/>
      <c r="I1022" s="408"/>
      <c r="J1022" s="408"/>
      <c r="K1022" s="408"/>
      <c r="L1022" s="408"/>
      <c r="M1022" s="408"/>
      <c r="N1022" s="408"/>
      <c r="O1022" s="408"/>
      <c r="P1022" s="408"/>
      <c r="Q1022" s="408"/>
      <c r="R1022" s="408"/>
      <c r="S1022" s="408"/>
      <c r="T1022" s="408"/>
      <c r="U1022" s="408"/>
      <c r="V1022" s="23"/>
    </row>
    <row r="1023" spans="1:32" s="16" customFormat="1" ht="33" customHeight="1" x14ac:dyDescent="0.2">
      <c r="A1023" s="11"/>
      <c r="B1023" s="125"/>
      <c r="C1023" s="408" t="str">
        <f>"Mutasi Debet sebesar Rp. "&amp;FIXED(F1020+L1020)&amp;" adalah hasil pengadaan barang tahun "&amp;'[1]2.ISIAN DATA SKPD'!D11&amp;" tidak ada penambahan aset"</f>
        <v>Mutasi Debet sebesar Rp. 0,00 adalah hasil pengadaan barang tahun 2018 tidak ada penambahan aset</v>
      </c>
      <c r="D1023" s="408"/>
      <c r="E1023" s="408"/>
      <c r="F1023" s="408"/>
      <c r="G1023" s="408"/>
      <c r="H1023" s="408"/>
      <c r="I1023" s="408"/>
      <c r="J1023" s="408"/>
      <c r="K1023" s="408"/>
      <c r="L1023" s="408"/>
      <c r="M1023" s="408"/>
      <c r="N1023" s="408"/>
      <c r="O1023" s="408"/>
      <c r="P1023" s="408"/>
      <c r="Q1023" s="408"/>
      <c r="R1023" s="408"/>
      <c r="S1023" s="408"/>
      <c r="T1023" s="408"/>
      <c r="U1023" s="408"/>
      <c r="V1023" s="23"/>
    </row>
    <row r="1024" spans="1:32" s="16" customFormat="1" ht="22.5" customHeight="1" x14ac:dyDescent="0.2">
      <c r="A1024" s="11"/>
      <c r="B1024" s="125"/>
      <c r="C1024" s="408" t="s">
        <v>463</v>
      </c>
      <c r="D1024" s="408"/>
      <c r="E1024" s="408"/>
      <c r="F1024" s="408"/>
      <c r="G1024" s="408"/>
      <c r="H1024" s="408"/>
      <c r="I1024" s="408"/>
      <c r="J1024" s="408"/>
      <c r="K1024" s="408"/>
      <c r="L1024" s="408"/>
      <c r="M1024" s="408"/>
      <c r="N1024" s="408"/>
      <c r="O1024" s="408"/>
      <c r="P1024" s="408"/>
      <c r="Q1024" s="408"/>
      <c r="R1024" s="408"/>
      <c r="S1024" s="408"/>
      <c r="T1024" s="408"/>
      <c r="U1024" s="408"/>
      <c r="V1024" s="23"/>
    </row>
    <row r="1025" spans="1:32" s="16" customFormat="1" ht="21.75" customHeight="1" x14ac:dyDescent="0.2">
      <c r="A1025" s="11"/>
      <c r="B1025" s="125"/>
      <c r="C1025" s="408" t="str">
        <f>"Mutasi Kredit Rp. "&amp;FIXED(I1020+O1020)&amp;"."</f>
        <v>Mutasi Kredit Rp. 0,00.</v>
      </c>
      <c r="D1025" s="408"/>
      <c r="E1025" s="408"/>
      <c r="F1025" s="408"/>
      <c r="G1025" s="408"/>
      <c r="H1025" s="408"/>
      <c r="I1025" s="408"/>
      <c r="J1025" s="408"/>
      <c r="K1025" s="408"/>
      <c r="L1025" s="408"/>
      <c r="M1025" s="408"/>
      <c r="N1025" s="408"/>
      <c r="O1025" s="408"/>
      <c r="P1025" s="408"/>
      <c r="Q1025" s="408"/>
      <c r="R1025" s="408"/>
      <c r="S1025" s="408"/>
      <c r="T1025" s="408"/>
      <c r="U1025" s="408"/>
      <c r="V1025" s="23"/>
    </row>
    <row r="1026" spans="1:32" s="16" customFormat="1" ht="13.5" customHeight="1" x14ac:dyDescent="0.2">
      <c r="A1026" s="11"/>
      <c r="B1026" s="29"/>
      <c r="C1026" s="20"/>
      <c r="D1026" s="20"/>
      <c r="E1026" s="20"/>
      <c r="F1026" s="20"/>
      <c r="G1026" s="20"/>
      <c r="H1026" s="20"/>
      <c r="I1026" s="20"/>
      <c r="J1026" s="20"/>
      <c r="K1026" s="20"/>
      <c r="L1026" s="20"/>
      <c r="M1026" s="20"/>
      <c r="N1026" s="20"/>
      <c r="O1026" s="20"/>
      <c r="P1026" s="20"/>
      <c r="Q1026" s="20"/>
      <c r="R1026" s="20"/>
      <c r="S1026" s="20"/>
      <c r="T1026" s="20"/>
      <c r="U1026" s="20"/>
      <c r="V1026" s="23"/>
    </row>
    <row r="1027" spans="1:32" s="16" customFormat="1" ht="22.5" customHeight="1" x14ac:dyDescent="0.2">
      <c r="A1027" s="11"/>
      <c r="B1027" s="202" t="s">
        <v>477</v>
      </c>
      <c r="C1027" s="402" t="str">
        <f>'[1]4.NERACA'!C91</f>
        <v>Unit-Unit Laboratorium</v>
      </c>
      <c r="D1027" s="402"/>
      <c r="E1027" s="402"/>
      <c r="F1027" s="402"/>
      <c r="G1027" s="402"/>
      <c r="H1027" s="402"/>
      <c r="I1027" s="402"/>
      <c r="J1027" s="402"/>
      <c r="K1027" s="402"/>
      <c r="L1027" s="402"/>
      <c r="M1027" s="402"/>
      <c r="N1027" s="402"/>
      <c r="O1027" s="402"/>
      <c r="P1027" s="402"/>
      <c r="Q1027" s="402"/>
      <c r="R1027" s="402"/>
      <c r="S1027" s="402"/>
      <c r="T1027" s="402"/>
      <c r="U1027" s="402"/>
      <c r="V1027" s="23"/>
    </row>
    <row r="1028" spans="1:32" s="16" customFormat="1" ht="63" customHeight="1" x14ac:dyDescent="0.2">
      <c r="A1028" s="11"/>
      <c r="C1028" s="407" t="str">
        <f>"Nilai aset tetap berupa unit-unit laboraturium  per "&amp;'[1]2.ISIAN DATA SKPD'!D8&amp;" dan  "&amp;'[1]2.ISIAN DATA SKPD'!D12&amp;" adalah sebesar Rp. "&amp;FIXED(R1034)&amp;" dan Rp. "&amp;FIXED(B1034)&amp;" tidak mengalami kenaikan/penurunan sebesar Rp. "&amp;FIXED(AC1034)&amp;" atau sebesar "&amp;FIXED(Y1034)&amp;"% dari tahun "&amp;'[1]2.ISIAN DATA SKPD'!D12&amp;"."</f>
        <v>Nilai aset tetap berupa unit-unit laboraturium  per 31 Desember 2018 dan  2017 adalah sebesar Rp. 0,00 dan Rp. 0,00 tidak mengalami kenaikan/penurunan sebesar Rp. 0,00 atau sebesar 0,00% dari tahun 2017.</v>
      </c>
      <c r="D1028" s="407"/>
      <c r="E1028" s="407"/>
      <c r="F1028" s="407"/>
      <c r="G1028" s="407"/>
      <c r="H1028" s="407"/>
      <c r="I1028" s="407"/>
      <c r="J1028" s="407"/>
      <c r="K1028" s="407"/>
      <c r="L1028" s="407"/>
      <c r="M1028" s="407"/>
      <c r="N1028" s="407"/>
      <c r="O1028" s="407"/>
      <c r="P1028" s="407"/>
      <c r="Q1028" s="407"/>
      <c r="R1028" s="407"/>
      <c r="S1028" s="407"/>
      <c r="T1028" s="407"/>
      <c r="U1028" s="407"/>
      <c r="V1028" s="23"/>
    </row>
    <row r="1029" spans="1:32" s="16" customFormat="1" ht="20.25" customHeight="1" x14ac:dyDescent="0.2">
      <c r="A1029" s="11"/>
      <c r="B1029" s="77"/>
      <c r="C1029" s="407" t="str">
        <f>"Dengan mutasi  selama tahun "&amp;'[1]2.ISIAN DATA SKPD'!D11&amp;" sebagai berikut :"</f>
        <v>Dengan mutasi  selama tahun 2018 sebagai berikut :</v>
      </c>
      <c r="D1029" s="407"/>
      <c r="E1029" s="407"/>
      <c r="F1029" s="407"/>
      <c r="G1029" s="407"/>
      <c r="H1029" s="407"/>
      <c r="I1029" s="407"/>
      <c r="J1029" s="407"/>
      <c r="K1029" s="407"/>
      <c r="L1029" s="407"/>
      <c r="M1029" s="407"/>
      <c r="N1029" s="407"/>
      <c r="O1029" s="407"/>
      <c r="P1029" s="407"/>
      <c r="Q1029" s="407"/>
      <c r="R1029" s="407"/>
      <c r="S1029" s="407"/>
      <c r="T1029" s="407"/>
      <c r="U1029" s="407"/>
      <c r="V1029" s="23"/>
    </row>
    <row r="1030" spans="1:32" s="16" customFormat="1" ht="20.25" customHeight="1" x14ac:dyDescent="0.2">
      <c r="A1030" s="11"/>
      <c r="B1030" s="77"/>
      <c r="C1030" s="77"/>
      <c r="D1030" s="77"/>
      <c r="E1030" s="77"/>
      <c r="F1030" s="77"/>
      <c r="G1030" s="77"/>
      <c r="H1030" s="77"/>
      <c r="I1030" s="77"/>
      <c r="J1030" s="77"/>
      <c r="K1030" s="77"/>
      <c r="L1030" s="77"/>
      <c r="M1030" s="77"/>
      <c r="N1030" s="77"/>
      <c r="O1030" s="77"/>
      <c r="P1030" s="77"/>
      <c r="Q1030" s="77"/>
      <c r="R1030" s="77"/>
      <c r="S1030" s="77"/>
      <c r="T1030" s="77"/>
      <c r="U1030" s="77"/>
      <c r="V1030" s="23"/>
    </row>
    <row r="1031" spans="1:32" s="16" customFormat="1" ht="20.25" customHeight="1" x14ac:dyDescent="0.2">
      <c r="A1031" s="11"/>
      <c r="B1031" s="77"/>
      <c r="C1031" s="77"/>
      <c r="D1031" s="77"/>
      <c r="E1031" s="77"/>
      <c r="F1031" s="77"/>
      <c r="G1031" s="77"/>
      <c r="H1031" s="77"/>
      <c r="I1031" s="77"/>
      <c r="J1031" s="77"/>
      <c r="K1031" s="77"/>
      <c r="L1031" s="77"/>
      <c r="M1031" s="77"/>
      <c r="N1031" s="77"/>
      <c r="O1031" s="77"/>
      <c r="P1031" s="77"/>
      <c r="Q1031" s="77"/>
      <c r="R1031" s="77"/>
      <c r="S1031" s="77"/>
      <c r="T1031" s="77"/>
      <c r="U1031" s="77"/>
      <c r="V1031" s="23"/>
    </row>
    <row r="1032" spans="1:32" s="16" customFormat="1" ht="15.75" customHeight="1" x14ac:dyDescent="0.2">
      <c r="A1032" s="567" t="s">
        <v>125</v>
      </c>
      <c r="B1032" s="600" t="s">
        <v>443</v>
      </c>
      <c r="C1032" s="600"/>
      <c r="D1032" s="600"/>
      <c r="E1032" s="600"/>
      <c r="F1032" s="605" t="s">
        <v>444</v>
      </c>
      <c r="G1032" s="605"/>
      <c r="H1032" s="605"/>
      <c r="I1032" s="605"/>
      <c r="J1032" s="605"/>
      <c r="K1032" s="605"/>
      <c r="L1032" s="605" t="s">
        <v>445</v>
      </c>
      <c r="M1032" s="605"/>
      <c r="N1032" s="605"/>
      <c r="O1032" s="605"/>
      <c r="P1032" s="605"/>
      <c r="Q1032" s="605"/>
      <c r="R1032" s="600" t="s">
        <v>446</v>
      </c>
      <c r="S1032" s="600"/>
      <c r="T1032" s="600"/>
      <c r="U1032" s="600"/>
      <c r="V1032" s="23"/>
    </row>
    <row r="1033" spans="1:32" s="16" customFormat="1" ht="15.75" customHeight="1" x14ac:dyDescent="0.2">
      <c r="A1033" s="568"/>
      <c r="B1033" s="616">
        <f>B1019</f>
        <v>2017</v>
      </c>
      <c r="C1033" s="617"/>
      <c r="D1033" s="617"/>
      <c r="E1033" s="618"/>
      <c r="F1033" s="602" t="s">
        <v>447</v>
      </c>
      <c r="G1033" s="603"/>
      <c r="H1033" s="604"/>
      <c r="I1033" s="725" t="s">
        <v>448</v>
      </c>
      <c r="J1033" s="726"/>
      <c r="K1033" s="727"/>
      <c r="L1033" s="602" t="s">
        <v>447</v>
      </c>
      <c r="M1033" s="603"/>
      <c r="N1033" s="604"/>
      <c r="O1033" s="722" t="s">
        <v>448</v>
      </c>
      <c r="P1033" s="723"/>
      <c r="Q1033" s="724"/>
      <c r="R1033" s="713">
        <f>R1019</f>
        <v>2018</v>
      </c>
      <c r="S1033" s="714"/>
      <c r="T1033" s="714"/>
      <c r="U1033" s="715"/>
      <c r="V1033" s="487"/>
      <c r="W1033" s="480"/>
      <c r="X1033" s="480"/>
      <c r="Y1033" s="471" t="s">
        <v>449</v>
      </c>
      <c r="Z1033" s="480"/>
      <c r="AA1033" s="480"/>
      <c r="AB1033" s="480"/>
      <c r="AC1033" s="488" t="s">
        <v>438</v>
      </c>
      <c r="AD1033" s="489"/>
      <c r="AE1033" s="489"/>
      <c r="AF1033" s="489"/>
    </row>
    <row r="1034" spans="1:32" s="16" customFormat="1" ht="31.5" customHeight="1" x14ac:dyDescent="0.2">
      <c r="A1034" s="200" t="str">
        <f>C1027</f>
        <v>Unit-Unit Laboratorium</v>
      </c>
      <c r="B1034" s="766">
        <f>'[1]4.NERACA'!D91</f>
        <v>0</v>
      </c>
      <c r="C1034" s="767"/>
      <c r="D1034" s="767"/>
      <c r="E1034" s="768"/>
      <c r="F1034" s="766">
        <f>'[1]4.NERACA'!E91</f>
        <v>0</v>
      </c>
      <c r="G1034" s="767"/>
      <c r="H1034" s="768"/>
      <c r="I1034" s="769">
        <f>'[1]4.NERACA'!F91</f>
        <v>0</v>
      </c>
      <c r="J1034" s="770"/>
      <c r="K1034" s="771"/>
      <c r="L1034" s="766">
        <f>'[1]4.NERACA'!G91</f>
        <v>0</v>
      </c>
      <c r="M1034" s="767"/>
      <c r="N1034" s="768"/>
      <c r="O1034" s="766">
        <f>'[1]4.NERACA'!H91</f>
        <v>0</v>
      </c>
      <c r="P1034" s="767"/>
      <c r="Q1034" s="768"/>
      <c r="R1034" s="772">
        <f>B1034+F1034-I1034+L1034-O1034</f>
        <v>0</v>
      </c>
      <c r="S1034" s="772"/>
      <c r="T1034" s="772"/>
      <c r="U1034" s="772"/>
      <c r="V1034" s="479"/>
      <c r="W1034" s="480"/>
      <c r="X1034" s="480"/>
      <c r="Y1034" s="471">
        <v>0</v>
      </c>
      <c r="Z1034" s="480"/>
      <c r="AA1034" s="480"/>
      <c r="AB1034" s="480"/>
      <c r="AC1034" s="471">
        <f>R1034-B1034</f>
        <v>0</v>
      </c>
      <c r="AD1034" s="472"/>
      <c r="AE1034" s="472"/>
      <c r="AF1034" s="472"/>
    </row>
    <row r="1035" spans="1:32" s="16" customFormat="1" ht="22.5" customHeight="1" x14ac:dyDescent="0.2">
      <c r="A1035" s="11"/>
      <c r="B1035" s="669" t="s">
        <v>461</v>
      </c>
      <c r="C1035" s="669"/>
      <c r="D1035" s="669"/>
      <c r="E1035" s="669"/>
      <c r="F1035" s="669"/>
      <c r="G1035" s="669"/>
      <c r="H1035" s="669"/>
      <c r="I1035" s="669"/>
      <c r="J1035" s="669"/>
      <c r="K1035" s="669"/>
      <c r="L1035" s="669"/>
      <c r="M1035" s="669"/>
      <c r="N1035" s="669"/>
      <c r="O1035" s="669"/>
      <c r="P1035" s="669"/>
      <c r="Q1035" s="669"/>
      <c r="R1035" s="669"/>
      <c r="S1035" s="669"/>
      <c r="T1035" s="669"/>
      <c r="U1035" s="669"/>
      <c r="V1035" s="23"/>
    </row>
    <row r="1036" spans="1:32" s="16" customFormat="1" ht="22.5" customHeight="1" x14ac:dyDescent="0.2">
      <c r="A1036" s="11"/>
      <c r="B1036" s="125"/>
      <c r="C1036" s="408" t="s">
        <v>462</v>
      </c>
      <c r="D1036" s="408"/>
      <c r="E1036" s="408"/>
      <c r="F1036" s="408"/>
      <c r="G1036" s="408"/>
      <c r="H1036" s="408"/>
      <c r="I1036" s="408"/>
      <c r="J1036" s="408"/>
      <c r="K1036" s="408"/>
      <c r="L1036" s="408"/>
      <c r="M1036" s="408"/>
      <c r="N1036" s="408"/>
      <c r="O1036" s="408"/>
      <c r="P1036" s="408"/>
      <c r="Q1036" s="408"/>
      <c r="R1036" s="408"/>
      <c r="S1036" s="408"/>
      <c r="T1036" s="408"/>
      <c r="U1036" s="408"/>
      <c r="V1036" s="23"/>
    </row>
    <row r="1037" spans="1:32" s="16" customFormat="1" ht="19.5" customHeight="1" x14ac:dyDescent="0.2">
      <c r="A1037" s="11"/>
      <c r="B1037" s="125"/>
      <c r="C1037" s="408" t="str">
        <f>"Mutasi Debet sebesar Rp. "&amp;FIXED(F1034+L1034)&amp;"."</f>
        <v>Mutasi Debet sebesar Rp. 0,00.</v>
      </c>
      <c r="D1037" s="408"/>
      <c r="E1037" s="408"/>
      <c r="F1037" s="408"/>
      <c r="G1037" s="408"/>
      <c r="H1037" s="408"/>
      <c r="I1037" s="408"/>
      <c r="J1037" s="408"/>
      <c r="K1037" s="408"/>
      <c r="L1037" s="408"/>
      <c r="M1037" s="408"/>
      <c r="N1037" s="408"/>
      <c r="O1037" s="408"/>
      <c r="P1037" s="408"/>
      <c r="Q1037" s="408"/>
      <c r="R1037" s="408"/>
      <c r="S1037" s="408"/>
      <c r="T1037" s="408"/>
      <c r="U1037" s="408"/>
      <c r="V1037" s="23"/>
    </row>
    <row r="1038" spans="1:32" s="16" customFormat="1" ht="22.5" customHeight="1" x14ac:dyDescent="0.2">
      <c r="A1038" s="11"/>
      <c r="B1038" s="125"/>
      <c r="C1038" s="408" t="s">
        <v>463</v>
      </c>
      <c r="D1038" s="408"/>
      <c r="E1038" s="408"/>
      <c r="F1038" s="408"/>
      <c r="G1038" s="408"/>
      <c r="H1038" s="408"/>
      <c r="I1038" s="408"/>
      <c r="J1038" s="408"/>
      <c r="K1038" s="408"/>
      <c r="L1038" s="408"/>
      <c r="M1038" s="408"/>
      <c r="N1038" s="408"/>
      <c r="O1038" s="408"/>
      <c r="P1038" s="408"/>
      <c r="Q1038" s="408"/>
      <c r="R1038" s="408"/>
      <c r="S1038" s="408"/>
      <c r="T1038" s="408"/>
      <c r="U1038" s="408"/>
      <c r="V1038" s="23"/>
    </row>
    <row r="1039" spans="1:32" s="16" customFormat="1" ht="22.5" customHeight="1" x14ac:dyDescent="0.2">
      <c r="A1039" s="11"/>
      <c r="B1039" s="125"/>
      <c r="C1039" s="408" t="str">
        <f>"Mutasi Kredit Rp. "&amp;FIXED(I1034+O1034)&amp;"."</f>
        <v>Mutasi Kredit Rp. 0,00.</v>
      </c>
      <c r="D1039" s="408"/>
      <c r="E1039" s="408"/>
      <c r="F1039" s="408"/>
      <c r="G1039" s="408"/>
      <c r="H1039" s="408"/>
      <c r="I1039" s="408"/>
      <c r="J1039" s="408"/>
      <c r="K1039" s="408"/>
      <c r="L1039" s="408"/>
      <c r="M1039" s="408"/>
      <c r="N1039" s="408"/>
      <c r="O1039" s="408"/>
      <c r="P1039" s="408"/>
      <c r="Q1039" s="408"/>
      <c r="R1039" s="408"/>
      <c r="S1039" s="408"/>
      <c r="T1039" s="408"/>
      <c r="U1039" s="408"/>
      <c r="V1039" s="23"/>
    </row>
    <row r="1040" spans="1:32" s="16" customFormat="1" ht="15" customHeight="1" x14ac:dyDescent="0.2">
      <c r="A1040" s="11"/>
      <c r="B1040" s="29"/>
      <c r="C1040" s="20"/>
      <c r="D1040" s="20"/>
      <c r="E1040" s="20"/>
      <c r="F1040" s="20"/>
      <c r="G1040" s="20"/>
      <c r="H1040" s="20"/>
      <c r="I1040" s="20"/>
      <c r="J1040" s="20"/>
      <c r="K1040" s="20"/>
      <c r="L1040" s="20"/>
      <c r="M1040" s="20"/>
      <c r="N1040" s="20"/>
      <c r="O1040" s="20"/>
      <c r="P1040" s="20"/>
      <c r="Q1040" s="20"/>
      <c r="R1040" s="20"/>
      <c r="S1040" s="20"/>
      <c r="T1040" s="20"/>
      <c r="U1040" s="20"/>
      <c r="V1040" s="23"/>
    </row>
    <row r="1041" spans="1:32" s="16" customFormat="1" ht="22.5" customHeight="1" x14ac:dyDescent="0.2">
      <c r="A1041" s="11"/>
      <c r="B1041" s="202" t="s">
        <v>478</v>
      </c>
      <c r="C1041" s="402" t="str">
        <f>'[1]4.NERACA'!C92</f>
        <v>Alat Peraga/Praktek Sekolah</v>
      </c>
      <c r="D1041" s="402"/>
      <c r="E1041" s="402"/>
      <c r="F1041" s="402"/>
      <c r="G1041" s="402"/>
      <c r="H1041" s="402"/>
      <c r="I1041" s="402"/>
      <c r="J1041" s="402"/>
      <c r="K1041" s="402"/>
      <c r="L1041" s="402"/>
      <c r="M1041" s="402"/>
      <c r="N1041" s="402"/>
      <c r="O1041" s="402"/>
      <c r="P1041" s="402"/>
      <c r="Q1041" s="402"/>
      <c r="R1041" s="402"/>
      <c r="S1041" s="402"/>
      <c r="T1041" s="402"/>
      <c r="U1041" s="402"/>
      <c r="V1041" s="23"/>
    </row>
    <row r="1042" spans="1:32" s="16" customFormat="1" ht="59.25" customHeight="1" x14ac:dyDescent="0.2">
      <c r="A1042" s="11"/>
      <c r="C1042" s="407" t="str">
        <f>"Nilai aset tetap berupa alat peraga/praktek sekolah  per "&amp;'[1]2.ISIAN DATA SKPD'!D8&amp;" dan  "&amp;'[1]2.ISIAN DATA SKPD'!D12&amp;" adalah sebesar Rp. "&amp;FIXED(R1047)&amp;" dan Rp. "&amp;FIXED(B1047)&amp;" tidak mengalami kenaikan/penurunan sebesar Rp. "&amp;FIXED(AC1047)&amp;" atau sebesar "&amp;FIXED(Y1047)&amp;"% dari tahun "&amp;'[1]2.ISIAN DATA SKPD'!D12&amp;"."</f>
        <v>Nilai aset tetap berupa alat peraga/praktek sekolah  per 31 Desember 2018 dan  2017 adalah sebesar Rp. 0,00 dan Rp. 0,00 tidak mengalami kenaikan/penurunan sebesar Rp. 0,00 atau sebesar 0,00% dari tahun 2017.</v>
      </c>
      <c r="D1042" s="407"/>
      <c r="E1042" s="407"/>
      <c r="F1042" s="407"/>
      <c r="G1042" s="407"/>
      <c r="H1042" s="407"/>
      <c r="I1042" s="407"/>
      <c r="J1042" s="407"/>
      <c r="K1042" s="407"/>
      <c r="L1042" s="407"/>
      <c r="M1042" s="407"/>
      <c r="N1042" s="407"/>
      <c r="O1042" s="407"/>
      <c r="P1042" s="407"/>
      <c r="Q1042" s="407"/>
      <c r="R1042" s="407"/>
      <c r="S1042" s="407"/>
      <c r="T1042" s="407"/>
      <c r="U1042" s="407"/>
      <c r="V1042" s="23"/>
    </row>
    <row r="1043" spans="1:32" s="16" customFormat="1" ht="18.75" customHeight="1" x14ac:dyDescent="0.2">
      <c r="A1043" s="11"/>
      <c r="B1043" s="77"/>
      <c r="C1043" s="407" t="str">
        <f>"Dengan mutasi  selama tahun "&amp;'[1]2.ISIAN DATA SKPD'!D11&amp;" sebagai berikut :"</f>
        <v>Dengan mutasi  selama tahun 2018 sebagai berikut :</v>
      </c>
      <c r="D1043" s="407"/>
      <c r="E1043" s="407"/>
      <c r="F1043" s="407"/>
      <c r="G1043" s="407"/>
      <c r="H1043" s="407"/>
      <c r="I1043" s="407"/>
      <c r="J1043" s="407"/>
      <c r="K1043" s="407"/>
      <c r="L1043" s="407"/>
      <c r="M1043" s="407"/>
      <c r="N1043" s="407"/>
      <c r="O1043" s="407"/>
      <c r="P1043" s="407"/>
      <c r="Q1043" s="407"/>
      <c r="R1043" s="407"/>
      <c r="S1043" s="407"/>
      <c r="T1043" s="407"/>
      <c r="U1043" s="407"/>
      <c r="V1043" s="23"/>
    </row>
    <row r="1044" spans="1:32" s="16" customFormat="1" ht="18.75" customHeight="1" x14ac:dyDescent="0.2">
      <c r="A1044" s="11"/>
      <c r="B1044" s="77"/>
      <c r="C1044" s="77"/>
      <c r="D1044" s="77"/>
      <c r="E1044" s="77"/>
      <c r="F1044" s="77"/>
      <c r="G1044" s="77"/>
      <c r="H1044" s="77"/>
      <c r="I1044" s="77"/>
      <c r="J1044" s="77"/>
      <c r="K1044" s="77"/>
      <c r="L1044" s="77"/>
      <c r="M1044" s="77"/>
      <c r="N1044" s="77"/>
      <c r="O1044" s="77"/>
      <c r="P1044" s="77"/>
      <c r="Q1044" s="77"/>
      <c r="R1044" s="77"/>
      <c r="S1044" s="77"/>
      <c r="T1044" s="77"/>
      <c r="U1044" s="77"/>
      <c r="V1044" s="23"/>
    </row>
    <row r="1045" spans="1:32" s="16" customFormat="1" ht="18" customHeight="1" x14ac:dyDescent="0.2">
      <c r="A1045" s="567" t="s">
        <v>125</v>
      </c>
      <c r="B1045" s="562" t="s">
        <v>443</v>
      </c>
      <c r="C1045" s="562"/>
      <c r="D1045" s="562"/>
      <c r="E1045" s="562"/>
      <c r="F1045" s="572" t="s">
        <v>444</v>
      </c>
      <c r="G1045" s="572"/>
      <c r="H1045" s="572"/>
      <c r="I1045" s="572"/>
      <c r="J1045" s="572"/>
      <c r="K1045" s="572"/>
      <c r="L1045" s="572" t="s">
        <v>445</v>
      </c>
      <c r="M1045" s="572"/>
      <c r="N1045" s="572"/>
      <c r="O1045" s="572"/>
      <c r="P1045" s="572"/>
      <c r="Q1045" s="572"/>
      <c r="R1045" s="562" t="s">
        <v>446</v>
      </c>
      <c r="S1045" s="562"/>
      <c r="T1045" s="562"/>
      <c r="U1045" s="562"/>
      <c r="V1045" s="23"/>
    </row>
    <row r="1046" spans="1:32" s="16" customFormat="1" ht="22.5" customHeight="1" x14ac:dyDescent="0.2">
      <c r="A1046" s="568"/>
      <c r="B1046" s="764">
        <f>B1033</f>
        <v>2017</v>
      </c>
      <c r="C1046" s="562"/>
      <c r="D1046" s="562"/>
      <c r="E1046" s="562"/>
      <c r="F1046" s="562" t="s">
        <v>447</v>
      </c>
      <c r="G1046" s="562"/>
      <c r="H1046" s="562"/>
      <c r="I1046" s="573" t="s">
        <v>448</v>
      </c>
      <c r="J1046" s="573"/>
      <c r="K1046" s="573"/>
      <c r="L1046" s="562" t="s">
        <v>447</v>
      </c>
      <c r="M1046" s="562"/>
      <c r="N1046" s="562"/>
      <c r="O1046" s="563" t="s">
        <v>448</v>
      </c>
      <c r="P1046" s="563"/>
      <c r="Q1046" s="563"/>
      <c r="R1046" s="713">
        <f>R1033</f>
        <v>2018</v>
      </c>
      <c r="S1046" s="714"/>
      <c r="T1046" s="714"/>
      <c r="U1046" s="715"/>
      <c r="V1046" s="487"/>
      <c r="W1046" s="480"/>
      <c r="X1046" s="480"/>
      <c r="Y1046" s="471" t="s">
        <v>449</v>
      </c>
      <c r="Z1046" s="480"/>
      <c r="AA1046" s="480"/>
      <c r="AB1046" s="480"/>
      <c r="AC1046" s="488" t="s">
        <v>438</v>
      </c>
      <c r="AD1046" s="489"/>
      <c r="AE1046" s="489"/>
      <c r="AF1046" s="489"/>
    </row>
    <row r="1047" spans="1:32" s="16" customFormat="1" ht="45.75" customHeight="1" x14ac:dyDescent="0.2">
      <c r="A1047" s="200" t="str">
        <f>C1041</f>
        <v>Alat Peraga/Praktek Sekolah</v>
      </c>
      <c r="B1047" s="766">
        <f>'[1]4.NERACA'!D92</f>
        <v>0</v>
      </c>
      <c r="C1047" s="767"/>
      <c r="D1047" s="767"/>
      <c r="E1047" s="767"/>
      <c r="F1047" s="766">
        <f>'[1]4.NERACA'!E92</f>
        <v>0</v>
      </c>
      <c r="G1047" s="767"/>
      <c r="H1047" s="768"/>
      <c r="I1047" s="769">
        <f>'[1]4.NERACA'!F92</f>
        <v>0</v>
      </c>
      <c r="J1047" s="770"/>
      <c r="K1047" s="771"/>
      <c r="L1047" s="766">
        <f>'[1]4.NERACA'!G92</f>
        <v>0</v>
      </c>
      <c r="M1047" s="767"/>
      <c r="N1047" s="768"/>
      <c r="O1047" s="766">
        <f>'[1]4.NERACA'!H92</f>
        <v>0</v>
      </c>
      <c r="P1047" s="767"/>
      <c r="Q1047" s="768"/>
      <c r="R1047" s="772">
        <f>B1047+F1047-I1047+L1047-O1047</f>
        <v>0</v>
      </c>
      <c r="S1047" s="772"/>
      <c r="T1047" s="772"/>
      <c r="U1047" s="772"/>
      <c r="V1047" s="479"/>
      <c r="W1047" s="480"/>
      <c r="X1047" s="480"/>
      <c r="Y1047" s="471">
        <v>0</v>
      </c>
      <c r="Z1047" s="480"/>
      <c r="AA1047" s="480"/>
      <c r="AB1047" s="480"/>
      <c r="AC1047" s="471">
        <f>R1047-B1047</f>
        <v>0</v>
      </c>
      <c r="AD1047" s="472"/>
      <c r="AE1047" s="472"/>
      <c r="AF1047" s="472"/>
    </row>
    <row r="1048" spans="1:32" s="16" customFormat="1" ht="22.5" customHeight="1" x14ac:dyDescent="0.2">
      <c r="A1048" s="11"/>
      <c r="B1048" s="408" t="s">
        <v>461</v>
      </c>
      <c r="C1048" s="408"/>
      <c r="D1048" s="408"/>
      <c r="E1048" s="408"/>
      <c r="F1048" s="408"/>
      <c r="G1048" s="408"/>
      <c r="H1048" s="408"/>
      <c r="I1048" s="408"/>
      <c r="J1048" s="408"/>
      <c r="K1048" s="408"/>
      <c r="L1048" s="408"/>
      <c r="M1048" s="408"/>
      <c r="N1048" s="408"/>
      <c r="O1048" s="408"/>
      <c r="P1048" s="408"/>
      <c r="Q1048" s="408"/>
      <c r="R1048" s="408"/>
      <c r="S1048" s="408"/>
      <c r="T1048" s="408"/>
      <c r="U1048" s="408"/>
      <c r="V1048" s="23"/>
    </row>
    <row r="1049" spans="1:32" s="16" customFormat="1" ht="22.5" customHeight="1" x14ac:dyDescent="0.2">
      <c r="A1049" s="11"/>
      <c r="B1049" s="125"/>
      <c r="C1049" s="408" t="s">
        <v>462</v>
      </c>
      <c r="D1049" s="408"/>
      <c r="E1049" s="408"/>
      <c r="F1049" s="408"/>
      <c r="G1049" s="408"/>
      <c r="H1049" s="408"/>
      <c r="I1049" s="408"/>
      <c r="J1049" s="408"/>
      <c r="K1049" s="408"/>
      <c r="L1049" s="408"/>
      <c r="M1049" s="408"/>
      <c r="N1049" s="408"/>
      <c r="O1049" s="408"/>
      <c r="P1049" s="408"/>
      <c r="Q1049" s="408"/>
      <c r="R1049" s="408"/>
      <c r="S1049" s="408"/>
      <c r="T1049" s="408"/>
      <c r="U1049" s="408"/>
      <c r="V1049" s="23"/>
    </row>
    <row r="1050" spans="1:32" s="16" customFormat="1" ht="21.75" customHeight="1" x14ac:dyDescent="0.2">
      <c r="A1050" s="11"/>
      <c r="B1050" s="125"/>
      <c r="C1050" s="408" t="str">
        <f>"Mutasi Debet sebesar Rp. "&amp;FIXED(F1047+L1047)&amp;"."</f>
        <v>Mutasi Debet sebesar Rp. 0,00.</v>
      </c>
      <c r="D1050" s="408"/>
      <c r="E1050" s="408"/>
      <c r="F1050" s="408"/>
      <c r="G1050" s="408"/>
      <c r="H1050" s="408"/>
      <c r="I1050" s="408"/>
      <c r="J1050" s="408"/>
      <c r="K1050" s="408"/>
      <c r="L1050" s="408"/>
      <c r="M1050" s="408"/>
      <c r="N1050" s="408"/>
      <c r="O1050" s="408"/>
      <c r="P1050" s="408"/>
      <c r="Q1050" s="408"/>
      <c r="R1050" s="408"/>
      <c r="S1050" s="408"/>
      <c r="T1050" s="408"/>
      <c r="U1050" s="408"/>
      <c r="V1050" s="23"/>
    </row>
    <row r="1051" spans="1:32" s="16" customFormat="1" ht="17.25" customHeight="1" x14ac:dyDescent="0.2">
      <c r="A1051" s="11"/>
      <c r="B1051" s="125"/>
      <c r="C1051" s="408" t="s">
        <v>463</v>
      </c>
      <c r="D1051" s="408"/>
      <c r="E1051" s="408"/>
      <c r="F1051" s="408"/>
      <c r="G1051" s="408"/>
      <c r="H1051" s="408"/>
      <c r="I1051" s="408"/>
      <c r="J1051" s="408"/>
      <c r="K1051" s="408"/>
      <c r="L1051" s="408"/>
      <c r="M1051" s="408"/>
      <c r="N1051" s="408"/>
      <c r="O1051" s="408"/>
      <c r="P1051" s="408"/>
      <c r="Q1051" s="408"/>
      <c r="R1051" s="408"/>
      <c r="S1051" s="408"/>
      <c r="T1051" s="408"/>
      <c r="U1051" s="408"/>
      <c r="V1051" s="23"/>
    </row>
    <row r="1052" spans="1:32" s="16" customFormat="1" ht="21" customHeight="1" x14ac:dyDescent="0.2">
      <c r="A1052" s="11"/>
      <c r="B1052" s="125"/>
      <c r="C1052" s="408" t="str">
        <f>"Mutasi Kredit Rp. "&amp;FIXED(I1047+O1047)&amp;"."</f>
        <v>Mutasi Kredit Rp. 0,00.</v>
      </c>
      <c r="D1052" s="408"/>
      <c r="E1052" s="408"/>
      <c r="F1052" s="408"/>
      <c r="G1052" s="408"/>
      <c r="H1052" s="408"/>
      <c r="I1052" s="408"/>
      <c r="J1052" s="408"/>
      <c r="K1052" s="408"/>
      <c r="L1052" s="408"/>
      <c r="M1052" s="408"/>
      <c r="N1052" s="408"/>
      <c r="O1052" s="408"/>
      <c r="P1052" s="408"/>
      <c r="Q1052" s="408"/>
      <c r="R1052" s="408"/>
      <c r="S1052" s="408"/>
      <c r="T1052" s="408"/>
      <c r="U1052" s="408"/>
      <c r="V1052" s="23"/>
    </row>
    <row r="1053" spans="1:32" s="16" customFormat="1" ht="12" customHeight="1" x14ac:dyDescent="0.2">
      <c r="A1053" s="11"/>
      <c r="B1053" s="29"/>
      <c r="C1053" s="29"/>
      <c r="D1053" s="29"/>
      <c r="E1053" s="29"/>
      <c r="F1053" s="29"/>
      <c r="G1053" s="29"/>
      <c r="H1053" s="29"/>
      <c r="I1053" s="29"/>
      <c r="J1053" s="29"/>
      <c r="K1053" s="29"/>
      <c r="L1053" s="29"/>
      <c r="M1053" s="29"/>
      <c r="N1053" s="29"/>
      <c r="O1053" s="29"/>
      <c r="P1053" s="29"/>
      <c r="Q1053" s="29"/>
      <c r="R1053" s="29"/>
      <c r="S1053" s="29"/>
      <c r="T1053" s="29"/>
      <c r="U1053" s="29"/>
      <c r="V1053" s="23"/>
    </row>
    <row r="1054" spans="1:32" s="16" customFormat="1" ht="17.25" customHeight="1" x14ac:dyDescent="0.2">
      <c r="A1054" s="11"/>
      <c r="B1054" s="202" t="s">
        <v>479</v>
      </c>
      <c r="C1054" s="402" t="str">
        <f>'[1]4.NERACA'!C94</f>
        <v>Alat Laboratorium Fisila Nuklir / Elektronila</v>
      </c>
      <c r="D1054" s="402"/>
      <c r="E1054" s="402"/>
      <c r="F1054" s="402"/>
      <c r="G1054" s="402"/>
      <c r="H1054" s="402"/>
      <c r="I1054" s="402"/>
      <c r="J1054" s="402"/>
      <c r="K1054" s="402"/>
      <c r="L1054" s="402"/>
      <c r="M1054" s="402"/>
      <c r="N1054" s="402"/>
      <c r="O1054" s="402"/>
      <c r="P1054" s="402"/>
      <c r="Q1054" s="402"/>
      <c r="R1054" s="402"/>
      <c r="S1054" s="402"/>
      <c r="T1054" s="402"/>
      <c r="U1054" s="402"/>
      <c r="V1054" s="23"/>
    </row>
    <row r="1055" spans="1:32" s="16" customFormat="1" ht="63.75" customHeight="1" x14ac:dyDescent="0.2">
      <c r="A1055" s="11"/>
      <c r="C1055" s="407" t="str">
        <f>"Nilai aset tetap berupa alat laboratorium fisika nuklir/elektronika per "&amp;'[1]2.ISIAN DATA SKPD'!D8&amp;" dan  "&amp;'[1]2.ISIAN DATA SKPD'!D12&amp;" adalah sebesar Rp. "&amp;FIXED(R1060)&amp;" dan Rp. "&amp;FIXED(B1060)&amp;" tidak mengalami kenaikan/penurunan sebesar Rp. "&amp;FIXED(AC1060)&amp;" atau sebesar "&amp;FIXED(Y1060)&amp;"% dari tahun "&amp;'[1]2.ISIAN DATA SKPD'!D12&amp;"."</f>
        <v>Nilai aset tetap berupa alat laboratorium fisika nuklir/elektronika per 31 Desember 2018 dan  2017 adalah sebesar Rp. 0,00 dan Rp. 0,00 tidak mengalami kenaikan/penurunan sebesar Rp. 0,00 atau sebesar 0,00% dari tahun 2017.</v>
      </c>
      <c r="D1055" s="407"/>
      <c r="E1055" s="407"/>
      <c r="F1055" s="407"/>
      <c r="G1055" s="407"/>
      <c r="H1055" s="407"/>
      <c r="I1055" s="407"/>
      <c r="J1055" s="407"/>
      <c r="K1055" s="407"/>
      <c r="L1055" s="407"/>
      <c r="M1055" s="407"/>
      <c r="N1055" s="407"/>
      <c r="O1055" s="407"/>
      <c r="P1055" s="407"/>
      <c r="Q1055" s="407"/>
      <c r="R1055" s="407"/>
      <c r="S1055" s="407"/>
      <c r="T1055" s="407"/>
      <c r="U1055" s="407"/>
      <c r="V1055" s="23"/>
    </row>
    <row r="1056" spans="1:32" s="16" customFormat="1" ht="16.5" customHeight="1" x14ac:dyDescent="0.2">
      <c r="A1056" s="11"/>
      <c r="B1056" s="77"/>
      <c r="C1056" s="407" t="str">
        <f>"Dengan mutasi  selama tahun "&amp;'[1]2.ISIAN DATA SKPD'!D11&amp;" sebagai berikut :"</f>
        <v>Dengan mutasi  selama tahun 2018 sebagai berikut :</v>
      </c>
      <c r="D1056" s="407"/>
      <c r="E1056" s="407"/>
      <c r="F1056" s="407"/>
      <c r="G1056" s="407"/>
      <c r="H1056" s="407"/>
      <c r="I1056" s="407"/>
      <c r="J1056" s="407"/>
      <c r="K1056" s="407"/>
      <c r="L1056" s="407"/>
      <c r="M1056" s="407"/>
      <c r="N1056" s="407"/>
      <c r="O1056" s="407"/>
      <c r="P1056" s="407"/>
      <c r="Q1056" s="407"/>
      <c r="R1056" s="407"/>
      <c r="S1056" s="407"/>
      <c r="T1056" s="407"/>
      <c r="U1056" s="407"/>
      <c r="V1056" s="23"/>
    </row>
    <row r="1057" spans="1:32" s="16" customFormat="1" ht="10.5" customHeight="1" x14ac:dyDescent="0.2">
      <c r="A1057" s="11"/>
      <c r="B1057" s="77"/>
      <c r="C1057" s="77"/>
      <c r="D1057" s="77"/>
      <c r="E1057" s="77"/>
      <c r="F1057" s="77"/>
      <c r="G1057" s="77"/>
      <c r="H1057" s="77"/>
      <c r="I1057" s="77"/>
      <c r="J1057" s="77"/>
      <c r="K1057" s="77"/>
      <c r="L1057" s="77"/>
      <c r="M1057" s="77"/>
      <c r="N1057" s="77"/>
      <c r="O1057" s="77"/>
      <c r="P1057" s="77"/>
      <c r="Q1057" s="77"/>
      <c r="R1057" s="77"/>
      <c r="S1057" s="77"/>
      <c r="T1057" s="77"/>
      <c r="U1057" s="77"/>
      <c r="V1057" s="23"/>
    </row>
    <row r="1058" spans="1:32" s="16" customFormat="1" ht="22.5" customHeight="1" x14ac:dyDescent="0.2">
      <c r="A1058" s="567" t="s">
        <v>125</v>
      </c>
      <c r="B1058" s="562" t="s">
        <v>443</v>
      </c>
      <c r="C1058" s="562"/>
      <c r="D1058" s="562"/>
      <c r="E1058" s="562"/>
      <c r="F1058" s="572" t="s">
        <v>444</v>
      </c>
      <c r="G1058" s="572"/>
      <c r="H1058" s="572"/>
      <c r="I1058" s="572"/>
      <c r="J1058" s="572"/>
      <c r="K1058" s="572"/>
      <c r="L1058" s="572" t="s">
        <v>445</v>
      </c>
      <c r="M1058" s="572"/>
      <c r="N1058" s="572"/>
      <c r="O1058" s="572"/>
      <c r="P1058" s="572"/>
      <c r="Q1058" s="572"/>
      <c r="R1058" s="562" t="s">
        <v>446</v>
      </c>
      <c r="S1058" s="562"/>
      <c r="T1058" s="562"/>
      <c r="U1058" s="562"/>
      <c r="V1058" s="23"/>
    </row>
    <row r="1059" spans="1:32" s="16" customFormat="1" ht="22.5" customHeight="1" x14ac:dyDescent="0.2">
      <c r="A1059" s="568"/>
      <c r="B1059" s="764">
        <f>B1046</f>
        <v>2017</v>
      </c>
      <c r="C1059" s="562"/>
      <c r="D1059" s="562"/>
      <c r="E1059" s="562"/>
      <c r="F1059" s="562" t="s">
        <v>447</v>
      </c>
      <c r="G1059" s="562"/>
      <c r="H1059" s="562"/>
      <c r="I1059" s="573" t="s">
        <v>448</v>
      </c>
      <c r="J1059" s="573"/>
      <c r="K1059" s="573"/>
      <c r="L1059" s="562" t="s">
        <v>447</v>
      </c>
      <c r="M1059" s="562"/>
      <c r="N1059" s="562"/>
      <c r="O1059" s="563" t="s">
        <v>448</v>
      </c>
      <c r="P1059" s="563"/>
      <c r="Q1059" s="563"/>
      <c r="R1059" s="713">
        <f>R1046</f>
        <v>2018</v>
      </c>
      <c r="S1059" s="714"/>
      <c r="T1059" s="714"/>
      <c r="U1059" s="715"/>
      <c r="V1059" s="487"/>
      <c r="W1059" s="480"/>
      <c r="X1059" s="480"/>
      <c r="Y1059" s="471" t="s">
        <v>449</v>
      </c>
      <c r="Z1059" s="480"/>
      <c r="AA1059" s="480"/>
      <c r="AB1059" s="480"/>
      <c r="AC1059" s="488" t="s">
        <v>438</v>
      </c>
      <c r="AD1059" s="489"/>
      <c r="AE1059" s="489"/>
      <c r="AF1059" s="489"/>
    </row>
    <row r="1060" spans="1:32" s="16" customFormat="1" ht="54" customHeight="1" x14ac:dyDescent="0.2">
      <c r="A1060" s="200" t="str">
        <f>C1054</f>
        <v>Alat Laboratorium Fisila Nuklir / Elektronila</v>
      </c>
      <c r="B1060" s="766">
        <f>'[1]4.NERACA'!D94</f>
        <v>0</v>
      </c>
      <c r="C1060" s="767"/>
      <c r="D1060" s="767"/>
      <c r="E1060" s="767"/>
      <c r="F1060" s="766">
        <f>'[1]4.NERACA'!E94</f>
        <v>0</v>
      </c>
      <c r="G1060" s="767"/>
      <c r="H1060" s="768"/>
      <c r="I1060" s="769">
        <f>'[1]4.NERACA'!F94</f>
        <v>0</v>
      </c>
      <c r="J1060" s="770"/>
      <c r="K1060" s="771"/>
      <c r="L1060" s="766">
        <f>'[1]4.NERACA'!G94</f>
        <v>0</v>
      </c>
      <c r="M1060" s="767"/>
      <c r="N1060" s="768"/>
      <c r="O1060" s="766">
        <f>'[1]4.NERACA'!H94</f>
        <v>0</v>
      </c>
      <c r="P1060" s="767"/>
      <c r="Q1060" s="768"/>
      <c r="R1060" s="772">
        <f>B1060+F1060-I1060+L1060-O1060</f>
        <v>0</v>
      </c>
      <c r="S1060" s="772"/>
      <c r="T1060" s="772"/>
      <c r="U1060" s="772"/>
      <c r="V1060" s="479"/>
      <c r="W1060" s="480"/>
      <c r="X1060" s="480"/>
      <c r="Y1060" s="471">
        <v>0</v>
      </c>
      <c r="Z1060" s="480"/>
      <c r="AA1060" s="480"/>
      <c r="AB1060" s="480"/>
      <c r="AC1060" s="471">
        <f>R1060-B1060</f>
        <v>0</v>
      </c>
      <c r="AD1060" s="472"/>
      <c r="AE1060" s="472"/>
      <c r="AF1060" s="472"/>
    </row>
    <row r="1061" spans="1:32" s="16" customFormat="1" x14ac:dyDescent="0.2">
      <c r="A1061" s="11"/>
      <c r="B1061" s="205"/>
      <c r="C1061" s="205"/>
      <c r="D1061" s="205"/>
      <c r="E1061" s="205"/>
      <c r="F1061" s="205"/>
      <c r="G1061" s="205"/>
      <c r="H1061" s="205"/>
      <c r="I1061" s="205"/>
      <c r="J1061" s="205"/>
      <c r="K1061" s="205"/>
      <c r="L1061" s="205"/>
      <c r="M1061" s="205"/>
      <c r="N1061" s="205"/>
      <c r="O1061" s="205"/>
      <c r="P1061" s="205"/>
      <c r="Q1061" s="205"/>
      <c r="R1061" s="205"/>
      <c r="S1061" s="205"/>
      <c r="T1061" s="205"/>
      <c r="U1061" s="205"/>
      <c r="V1061" s="112"/>
      <c r="W1061" s="211"/>
      <c r="X1061" s="211"/>
      <c r="Y1061" s="113"/>
      <c r="Z1061" s="211"/>
      <c r="AA1061" s="211"/>
      <c r="AB1061" s="211"/>
      <c r="AC1061" s="113"/>
      <c r="AD1061" s="114"/>
      <c r="AE1061" s="114"/>
      <c r="AF1061" s="114"/>
    </row>
    <row r="1062" spans="1:32" s="16" customFormat="1" x14ac:dyDescent="0.2">
      <c r="A1062" s="11"/>
      <c r="B1062" s="205"/>
      <c r="C1062" s="205"/>
      <c r="D1062" s="205"/>
      <c r="E1062" s="205"/>
      <c r="F1062" s="205"/>
      <c r="G1062" s="205"/>
      <c r="H1062" s="205"/>
      <c r="I1062" s="205"/>
      <c r="J1062" s="205"/>
      <c r="K1062" s="205"/>
      <c r="L1062" s="205"/>
      <c r="M1062" s="205"/>
      <c r="N1062" s="205"/>
      <c r="O1062" s="205"/>
      <c r="P1062" s="205"/>
      <c r="Q1062" s="205"/>
      <c r="R1062" s="205"/>
      <c r="S1062" s="205"/>
      <c r="T1062" s="205"/>
      <c r="U1062" s="205"/>
      <c r="V1062" s="112"/>
      <c r="W1062" s="211"/>
      <c r="X1062" s="211"/>
      <c r="Y1062" s="113"/>
      <c r="Z1062" s="211"/>
      <c r="AA1062" s="211"/>
      <c r="AB1062" s="211"/>
      <c r="AC1062" s="113"/>
      <c r="AD1062" s="114"/>
      <c r="AE1062" s="114"/>
      <c r="AF1062" s="114"/>
    </row>
    <row r="1063" spans="1:32" s="16" customFormat="1" x14ac:dyDescent="0.2">
      <c r="A1063" s="11"/>
      <c r="B1063" s="205"/>
      <c r="C1063" s="205"/>
      <c r="D1063" s="205"/>
      <c r="E1063" s="205"/>
      <c r="F1063" s="205"/>
      <c r="G1063" s="205"/>
      <c r="H1063" s="205"/>
      <c r="I1063" s="205"/>
      <c r="J1063" s="205"/>
      <c r="K1063" s="205"/>
      <c r="L1063" s="205"/>
      <c r="M1063" s="205"/>
      <c r="N1063" s="205"/>
      <c r="O1063" s="205"/>
      <c r="P1063" s="205"/>
      <c r="Q1063" s="205"/>
      <c r="R1063" s="205"/>
      <c r="S1063" s="205"/>
      <c r="T1063" s="205"/>
      <c r="U1063" s="205"/>
      <c r="V1063" s="112"/>
      <c r="W1063" s="211"/>
      <c r="X1063" s="211"/>
      <c r="Y1063" s="113"/>
      <c r="Z1063" s="211"/>
      <c r="AA1063" s="211"/>
      <c r="AB1063" s="211"/>
      <c r="AC1063" s="113"/>
      <c r="AD1063" s="114"/>
      <c r="AE1063" s="114"/>
      <c r="AF1063" s="114"/>
    </row>
    <row r="1064" spans="1:32" s="16" customFormat="1" ht="22.5" customHeight="1" x14ac:dyDescent="0.2">
      <c r="A1064" s="11"/>
      <c r="B1064" s="408" t="s">
        <v>461</v>
      </c>
      <c r="C1064" s="408"/>
      <c r="D1064" s="408"/>
      <c r="E1064" s="408"/>
      <c r="F1064" s="408"/>
      <c r="G1064" s="408"/>
      <c r="H1064" s="408"/>
      <c r="I1064" s="408"/>
      <c r="J1064" s="408"/>
      <c r="K1064" s="408"/>
      <c r="L1064" s="408"/>
      <c r="M1064" s="408"/>
      <c r="N1064" s="408"/>
      <c r="O1064" s="408"/>
      <c r="P1064" s="408"/>
      <c r="Q1064" s="408"/>
      <c r="R1064" s="408"/>
      <c r="S1064" s="408"/>
      <c r="T1064" s="408"/>
      <c r="U1064" s="408"/>
      <c r="V1064" s="23"/>
    </row>
    <row r="1065" spans="1:32" s="16" customFormat="1" ht="22.5" customHeight="1" x14ac:dyDescent="0.2">
      <c r="A1065" s="11"/>
      <c r="B1065" s="125"/>
      <c r="C1065" s="408" t="s">
        <v>462</v>
      </c>
      <c r="D1065" s="408"/>
      <c r="E1065" s="408"/>
      <c r="F1065" s="408"/>
      <c r="G1065" s="408"/>
      <c r="H1065" s="408"/>
      <c r="I1065" s="408"/>
      <c r="J1065" s="408"/>
      <c r="K1065" s="408"/>
      <c r="L1065" s="408"/>
      <c r="M1065" s="408"/>
      <c r="N1065" s="408"/>
      <c r="O1065" s="408"/>
      <c r="P1065" s="408"/>
      <c r="Q1065" s="408"/>
      <c r="R1065" s="408"/>
      <c r="S1065" s="408"/>
      <c r="T1065" s="408"/>
      <c r="U1065" s="408"/>
      <c r="V1065" s="23"/>
    </row>
    <row r="1066" spans="1:32" s="16" customFormat="1" ht="24" customHeight="1" x14ac:dyDescent="0.2">
      <c r="A1066" s="11"/>
      <c r="B1066" s="125"/>
      <c r="C1066" s="408" t="str">
        <f>"Mutasi Debet sebesar Rp. "&amp;FIXED(F1060+L1060)&amp;". "</f>
        <v xml:space="preserve">Mutasi Debet sebesar Rp. 0,00. </v>
      </c>
      <c r="D1066" s="408"/>
      <c r="E1066" s="408"/>
      <c r="F1066" s="408"/>
      <c r="G1066" s="408"/>
      <c r="H1066" s="408"/>
      <c r="I1066" s="408"/>
      <c r="J1066" s="408"/>
      <c r="K1066" s="408"/>
      <c r="L1066" s="408"/>
      <c r="M1066" s="408"/>
      <c r="N1066" s="408"/>
      <c r="O1066" s="408"/>
      <c r="P1066" s="408"/>
      <c r="Q1066" s="408"/>
      <c r="R1066" s="408"/>
      <c r="S1066" s="408"/>
      <c r="T1066" s="408"/>
      <c r="U1066" s="408"/>
      <c r="V1066" s="23"/>
    </row>
    <row r="1067" spans="1:32" s="16" customFormat="1" ht="22.5" customHeight="1" x14ac:dyDescent="0.2">
      <c r="A1067" s="11"/>
      <c r="B1067" s="125"/>
      <c r="C1067" s="408" t="s">
        <v>463</v>
      </c>
      <c r="D1067" s="408"/>
      <c r="E1067" s="408"/>
      <c r="F1067" s="408"/>
      <c r="G1067" s="408"/>
      <c r="H1067" s="408"/>
      <c r="I1067" s="408"/>
      <c r="J1067" s="408"/>
      <c r="K1067" s="408"/>
      <c r="L1067" s="408"/>
      <c r="M1067" s="408"/>
      <c r="N1067" s="408"/>
      <c r="O1067" s="408"/>
      <c r="P1067" s="408"/>
      <c r="Q1067" s="408"/>
      <c r="R1067" s="408"/>
      <c r="S1067" s="408"/>
      <c r="T1067" s="408"/>
      <c r="U1067" s="408"/>
      <c r="V1067" s="23"/>
    </row>
    <row r="1068" spans="1:32" s="16" customFormat="1" ht="20.25" customHeight="1" x14ac:dyDescent="0.2">
      <c r="A1068" s="11"/>
      <c r="B1068" s="125"/>
      <c r="C1068" s="408" t="str">
        <f>"Mutasi Kredit Rp. "&amp;FIXED(I1060+O1060)&amp;"."</f>
        <v>Mutasi Kredit Rp. 0,00.</v>
      </c>
      <c r="D1068" s="408"/>
      <c r="E1068" s="408"/>
      <c r="F1068" s="408"/>
      <c r="G1068" s="408"/>
      <c r="H1068" s="408"/>
      <c r="I1068" s="408"/>
      <c r="J1068" s="408"/>
      <c r="K1068" s="408"/>
      <c r="L1068" s="408"/>
      <c r="M1068" s="408"/>
      <c r="N1068" s="408"/>
      <c r="O1068" s="408"/>
      <c r="P1068" s="408"/>
      <c r="Q1068" s="408"/>
      <c r="R1068" s="408"/>
      <c r="S1068" s="408"/>
      <c r="T1068" s="408"/>
      <c r="U1068" s="408"/>
      <c r="V1068" s="23"/>
    </row>
    <row r="1069" spans="1:32" s="16" customFormat="1" x14ac:dyDescent="0.2">
      <c r="A1069" s="11"/>
      <c r="B1069" s="125"/>
      <c r="C1069" s="37"/>
      <c r="D1069" s="37"/>
      <c r="E1069" s="37"/>
      <c r="F1069" s="37"/>
      <c r="G1069" s="37"/>
      <c r="H1069" s="37"/>
      <c r="I1069" s="37"/>
      <c r="J1069" s="37"/>
      <c r="K1069" s="37"/>
      <c r="L1069" s="37"/>
      <c r="M1069" s="37"/>
      <c r="N1069" s="37"/>
      <c r="O1069" s="37"/>
      <c r="P1069" s="37"/>
      <c r="Q1069" s="37"/>
      <c r="R1069" s="37"/>
      <c r="S1069" s="37"/>
      <c r="T1069" s="37"/>
      <c r="U1069" s="37"/>
      <c r="V1069" s="23"/>
    </row>
    <row r="1070" spans="1:32" s="16" customFormat="1" x14ac:dyDescent="0.2">
      <c r="A1070" s="11"/>
      <c r="B1070" s="202" t="s">
        <v>480</v>
      </c>
      <c r="C1070" s="402" t="str">
        <f>'[1]4.NERACA'!C95</f>
        <v>Alat Proteksi Radiasi / Proteksi Lingkungan</v>
      </c>
      <c r="D1070" s="402"/>
      <c r="E1070" s="402"/>
      <c r="F1070" s="402"/>
      <c r="G1070" s="402"/>
      <c r="H1070" s="402"/>
      <c r="I1070" s="402"/>
      <c r="J1070" s="402"/>
      <c r="K1070" s="402"/>
      <c r="L1070" s="402"/>
      <c r="M1070" s="402"/>
      <c r="N1070" s="402"/>
      <c r="O1070" s="402"/>
      <c r="P1070" s="402"/>
      <c r="Q1070" s="402"/>
      <c r="R1070" s="402"/>
      <c r="S1070" s="402"/>
      <c r="T1070" s="402"/>
      <c r="U1070" s="402"/>
      <c r="V1070" s="23"/>
    </row>
    <row r="1071" spans="1:32" s="16" customFormat="1" ht="63.75" customHeight="1" x14ac:dyDescent="0.2">
      <c r="A1071" s="11"/>
      <c r="C1071" s="407" t="str">
        <f>"Nilai aset tetap berupa alat proteksi radiasi/proteksi lingkungan  per "&amp;'[1]2.ISIAN DATA SKPD'!D8&amp;" dan  "&amp;'[1]2.ISIAN DATA SKPD'!D12&amp;" adalah sebesar Rp. "&amp;FIXED(R1076)&amp;" dan Rp. "&amp;FIXED(B1076)&amp;" tidak mengalami kenaikan/penurunan sebesar Rp. "&amp;FIXED(AC1076)&amp;" atau sebesar "&amp;FIXED(Y1076)&amp;"% dari tahun "&amp;'[1]2.ISIAN DATA SKPD'!D12&amp;"."</f>
        <v>Nilai aset tetap berupa alat proteksi radiasi/proteksi lingkungan  per 31 Desember 2018 dan  2017 adalah sebesar Rp. 0,00 dan Rp. 0,00 tidak mengalami kenaikan/penurunan sebesar Rp. 0,00 atau sebesar 0,00% dari tahun 2017.</v>
      </c>
      <c r="D1071" s="407"/>
      <c r="E1071" s="407"/>
      <c r="F1071" s="407"/>
      <c r="G1071" s="407"/>
      <c r="H1071" s="407"/>
      <c r="I1071" s="407"/>
      <c r="J1071" s="407"/>
      <c r="K1071" s="407"/>
      <c r="L1071" s="407"/>
      <c r="M1071" s="407"/>
      <c r="N1071" s="407"/>
      <c r="O1071" s="407"/>
      <c r="P1071" s="407"/>
      <c r="Q1071" s="407"/>
      <c r="R1071" s="407"/>
      <c r="S1071" s="407"/>
      <c r="T1071" s="407"/>
      <c r="U1071" s="407"/>
      <c r="V1071" s="23"/>
    </row>
    <row r="1072" spans="1:32" s="16" customFormat="1" x14ac:dyDescent="0.2">
      <c r="A1072" s="11"/>
      <c r="B1072" s="77"/>
      <c r="C1072" s="407" t="str">
        <f>"Dengan mutasi  selama tahun "&amp;'[1]2.ISIAN DATA SKPD'!D11&amp;" sebagai berikut :"</f>
        <v>Dengan mutasi  selama tahun 2018 sebagai berikut :</v>
      </c>
      <c r="D1072" s="407"/>
      <c r="E1072" s="407"/>
      <c r="F1072" s="407"/>
      <c r="G1072" s="407"/>
      <c r="H1072" s="407"/>
      <c r="I1072" s="407"/>
      <c r="J1072" s="407"/>
      <c r="K1072" s="407"/>
      <c r="L1072" s="407"/>
      <c r="M1072" s="407"/>
      <c r="N1072" s="407"/>
      <c r="O1072" s="407"/>
      <c r="P1072" s="407"/>
      <c r="Q1072" s="407"/>
      <c r="R1072" s="407"/>
      <c r="S1072" s="407"/>
      <c r="T1072" s="407"/>
      <c r="U1072" s="407"/>
      <c r="V1072" s="23"/>
    </row>
    <row r="1073" spans="1:32" s="16" customFormat="1" x14ac:dyDescent="0.2">
      <c r="A1073" s="11"/>
      <c r="B1073" s="77"/>
      <c r="C1073" s="77"/>
      <c r="D1073" s="77"/>
      <c r="E1073" s="77"/>
      <c r="F1073" s="77"/>
      <c r="G1073" s="77"/>
      <c r="H1073" s="77"/>
      <c r="I1073" s="77"/>
      <c r="J1073" s="77"/>
      <c r="K1073" s="77"/>
      <c r="L1073" s="77"/>
      <c r="M1073" s="77"/>
      <c r="N1073" s="77"/>
      <c r="O1073" s="77"/>
      <c r="P1073" s="77"/>
      <c r="Q1073" s="77"/>
      <c r="R1073" s="77"/>
      <c r="S1073" s="77"/>
      <c r="T1073" s="77"/>
      <c r="U1073" s="77"/>
      <c r="V1073" s="23"/>
    </row>
    <row r="1074" spans="1:32" s="16" customFormat="1" ht="15" customHeight="1" x14ac:dyDescent="0.2">
      <c r="A1074" s="567" t="s">
        <v>125</v>
      </c>
      <c r="B1074" s="562" t="s">
        <v>443</v>
      </c>
      <c r="C1074" s="562"/>
      <c r="D1074" s="562"/>
      <c r="E1074" s="562"/>
      <c r="F1074" s="572" t="s">
        <v>444</v>
      </c>
      <c r="G1074" s="572"/>
      <c r="H1074" s="572"/>
      <c r="I1074" s="572"/>
      <c r="J1074" s="572"/>
      <c r="K1074" s="572"/>
      <c r="L1074" s="572" t="s">
        <v>445</v>
      </c>
      <c r="M1074" s="572"/>
      <c r="N1074" s="572"/>
      <c r="O1074" s="572"/>
      <c r="P1074" s="572"/>
      <c r="Q1074" s="572"/>
      <c r="R1074" s="562" t="s">
        <v>446</v>
      </c>
      <c r="S1074" s="562"/>
      <c r="T1074" s="562"/>
      <c r="U1074" s="562"/>
      <c r="V1074" s="23"/>
    </row>
    <row r="1075" spans="1:32" s="16" customFormat="1" ht="27.75" customHeight="1" x14ac:dyDescent="0.2">
      <c r="A1075" s="568"/>
      <c r="B1075" s="764">
        <f>B1059</f>
        <v>2017</v>
      </c>
      <c r="C1075" s="562"/>
      <c r="D1075" s="562"/>
      <c r="E1075" s="562"/>
      <c r="F1075" s="562" t="s">
        <v>447</v>
      </c>
      <c r="G1075" s="562"/>
      <c r="H1075" s="562"/>
      <c r="I1075" s="573" t="s">
        <v>448</v>
      </c>
      <c r="J1075" s="573"/>
      <c r="K1075" s="573"/>
      <c r="L1075" s="562" t="s">
        <v>447</v>
      </c>
      <c r="M1075" s="562"/>
      <c r="N1075" s="562"/>
      <c r="O1075" s="563" t="s">
        <v>448</v>
      </c>
      <c r="P1075" s="563"/>
      <c r="Q1075" s="563"/>
      <c r="R1075" s="713">
        <f>R1059</f>
        <v>2018</v>
      </c>
      <c r="S1075" s="714"/>
      <c r="T1075" s="714"/>
      <c r="U1075" s="715"/>
      <c r="V1075" s="487"/>
      <c r="W1075" s="480"/>
      <c r="X1075" s="480"/>
      <c r="Y1075" s="471" t="s">
        <v>449</v>
      </c>
      <c r="Z1075" s="480"/>
      <c r="AA1075" s="480"/>
      <c r="AB1075" s="480"/>
      <c r="AC1075" s="488" t="s">
        <v>438</v>
      </c>
      <c r="AD1075" s="489"/>
      <c r="AE1075" s="489"/>
      <c r="AF1075" s="489"/>
    </row>
    <row r="1076" spans="1:32" s="16" customFormat="1" ht="54" x14ac:dyDescent="0.2">
      <c r="A1076" s="200" t="str">
        <f>C1070</f>
        <v>Alat Proteksi Radiasi / Proteksi Lingkungan</v>
      </c>
      <c r="B1076" s="766">
        <f>'[1]4.NERACA'!D95</f>
        <v>0</v>
      </c>
      <c r="C1076" s="767"/>
      <c r="D1076" s="767"/>
      <c r="E1076" s="767"/>
      <c r="F1076" s="766">
        <f>'[1]4.NERACA'!E95</f>
        <v>0</v>
      </c>
      <c r="G1076" s="767"/>
      <c r="H1076" s="768"/>
      <c r="I1076" s="769">
        <f>'[1]4.NERACA'!F95</f>
        <v>0</v>
      </c>
      <c r="J1076" s="770"/>
      <c r="K1076" s="771"/>
      <c r="L1076" s="766">
        <f>'[1]4.NERACA'!G95</f>
        <v>0</v>
      </c>
      <c r="M1076" s="767"/>
      <c r="N1076" s="768"/>
      <c r="O1076" s="766">
        <f>'[1]4.NERACA'!H95</f>
        <v>0</v>
      </c>
      <c r="P1076" s="767"/>
      <c r="Q1076" s="768"/>
      <c r="R1076" s="772">
        <f>B1076+F1076-I1076+L1076-O1076</f>
        <v>0</v>
      </c>
      <c r="S1076" s="772"/>
      <c r="T1076" s="772"/>
      <c r="U1076" s="772"/>
      <c r="V1076" s="479"/>
      <c r="W1076" s="480"/>
      <c r="X1076" s="480"/>
      <c r="Y1076" s="471">
        <v>0</v>
      </c>
      <c r="Z1076" s="480"/>
      <c r="AA1076" s="480"/>
      <c r="AB1076" s="480"/>
      <c r="AC1076" s="471">
        <f>R1076-B1076</f>
        <v>0</v>
      </c>
      <c r="AD1076" s="472"/>
      <c r="AE1076" s="472"/>
      <c r="AF1076" s="472"/>
    </row>
    <row r="1077" spans="1:32" s="16" customFormat="1" x14ac:dyDescent="0.2">
      <c r="A1077" s="11"/>
      <c r="B1077" s="408" t="s">
        <v>461</v>
      </c>
      <c r="C1077" s="408"/>
      <c r="D1077" s="408"/>
      <c r="E1077" s="408"/>
      <c r="F1077" s="408"/>
      <c r="G1077" s="408"/>
      <c r="H1077" s="408"/>
      <c r="I1077" s="408"/>
      <c r="J1077" s="408"/>
      <c r="K1077" s="408"/>
      <c r="L1077" s="408"/>
      <c r="M1077" s="408"/>
      <c r="N1077" s="408"/>
      <c r="O1077" s="408"/>
      <c r="P1077" s="408"/>
      <c r="Q1077" s="408"/>
      <c r="R1077" s="408"/>
      <c r="S1077" s="408"/>
      <c r="T1077" s="408"/>
      <c r="U1077" s="408"/>
      <c r="V1077" s="23"/>
    </row>
    <row r="1078" spans="1:32" s="16" customFormat="1" x14ac:dyDescent="0.2">
      <c r="A1078" s="11"/>
      <c r="B1078" s="125"/>
      <c r="C1078" s="408" t="s">
        <v>462</v>
      </c>
      <c r="D1078" s="408"/>
      <c r="E1078" s="408"/>
      <c r="F1078" s="408"/>
      <c r="G1078" s="408"/>
      <c r="H1078" s="408"/>
      <c r="I1078" s="408"/>
      <c r="J1078" s="408"/>
      <c r="K1078" s="408"/>
      <c r="L1078" s="408"/>
      <c r="M1078" s="408"/>
      <c r="N1078" s="408"/>
      <c r="O1078" s="408"/>
      <c r="P1078" s="408"/>
      <c r="Q1078" s="408"/>
      <c r="R1078" s="408"/>
      <c r="S1078" s="408"/>
      <c r="T1078" s="408"/>
      <c r="U1078" s="408"/>
      <c r="V1078" s="23"/>
    </row>
    <row r="1079" spans="1:32" s="16" customFormat="1" ht="22.5" customHeight="1" x14ac:dyDescent="0.2">
      <c r="A1079" s="11"/>
      <c r="B1079" s="125"/>
      <c r="C1079" s="408" t="str">
        <f>"Mutasi Debet sebesar Rp. "&amp;FIXED(F1076+L1076)&amp;"."</f>
        <v>Mutasi Debet sebesar Rp. 0,00.</v>
      </c>
      <c r="D1079" s="408"/>
      <c r="E1079" s="408"/>
      <c r="F1079" s="408"/>
      <c r="G1079" s="408"/>
      <c r="H1079" s="408"/>
      <c r="I1079" s="408"/>
      <c r="J1079" s="408"/>
      <c r="K1079" s="408"/>
      <c r="L1079" s="408"/>
      <c r="M1079" s="408"/>
      <c r="N1079" s="408"/>
      <c r="O1079" s="408"/>
      <c r="P1079" s="408"/>
      <c r="Q1079" s="408"/>
      <c r="R1079" s="408"/>
      <c r="S1079" s="408"/>
      <c r="T1079" s="408"/>
      <c r="U1079" s="408"/>
      <c r="V1079" s="23"/>
    </row>
    <row r="1080" spans="1:32" s="16" customFormat="1" x14ac:dyDescent="0.2">
      <c r="A1080" s="11"/>
      <c r="B1080" s="125"/>
      <c r="C1080" s="408" t="s">
        <v>463</v>
      </c>
      <c r="D1080" s="408"/>
      <c r="E1080" s="408"/>
      <c r="F1080" s="408"/>
      <c r="G1080" s="408"/>
      <c r="H1080" s="408"/>
      <c r="I1080" s="408"/>
      <c r="J1080" s="408"/>
      <c r="K1080" s="408"/>
      <c r="L1080" s="408"/>
      <c r="M1080" s="408"/>
      <c r="N1080" s="408"/>
      <c r="O1080" s="408"/>
      <c r="P1080" s="408"/>
      <c r="Q1080" s="408"/>
      <c r="R1080" s="408"/>
      <c r="S1080" s="408"/>
      <c r="T1080" s="408"/>
      <c r="U1080" s="408"/>
      <c r="V1080" s="23"/>
    </row>
    <row r="1081" spans="1:32" s="16" customFormat="1" ht="19.5" customHeight="1" x14ac:dyDescent="0.2">
      <c r="A1081" s="11"/>
      <c r="B1081" s="125"/>
      <c r="C1081" s="408" t="str">
        <f>"Mutasi Kredit Rp. "&amp;FIXED(I1076+O1076)&amp;"."</f>
        <v>Mutasi Kredit Rp. 0,00.</v>
      </c>
      <c r="D1081" s="408"/>
      <c r="E1081" s="408"/>
      <c r="F1081" s="408"/>
      <c r="G1081" s="408"/>
      <c r="H1081" s="408"/>
      <c r="I1081" s="408"/>
      <c r="J1081" s="408"/>
      <c r="K1081" s="408"/>
      <c r="L1081" s="408"/>
      <c r="M1081" s="408"/>
      <c r="N1081" s="408"/>
      <c r="O1081" s="408"/>
      <c r="P1081" s="408"/>
      <c r="Q1081" s="408"/>
      <c r="R1081" s="408"/>
      <c r="S1081" s="408"/>
      <c r="T1081" s="408"/>
      <c r="U1081" s="408"/>
      <c r="V1081" s="23"/>
    </row>
    <row r="1082" spans="1:32" s="16" customFormat="1" ht="9.75" customHeight="1" x14ac:dyDescent="0.2">
      <c r="A1082" s="11"/>
      <c r="B1082" s="29"/>
      <c r="C1082" s="20"/>
      <c r="D1082" s="20"/>
      <c r="E1082" s="20"/>
      <c r="F1082" s="20"/>
      <c r="G1082" s="20"/>
      <c r="H1082" s="20"/>
      <c r="I1082" s="20"/>
      <c r="J1082" s="20"/>
      <c r="K1082" s="20"/>
      <c r="L1082" s="20"/>
      <c r="M1082" s="20"/>
      <c r="N1082" s="20"/>
      <c r="O1082" s="20"/>
      <c r="P1082" s="20"/>
      <c r="Q1082" s="20"/>
      <c r="R1082" s="20"/>
      <c r="S1082" s="20"/>
      <c r="T1082" s="20"/>
      <c r="U1082" s="20"/>
      <c r="V1082" s="765"/>
      <c r="W1082" s="765"/>
      <c r="X1082" s="765"/>
      <c r="Y1082" s="765"/>
      <c r="Z1082" s="765"/>
      <c r="AA1082" s="765"/>
      <c r="AB1082" s="765"/>
      <c r="AC1082" s="765"/>
      <c r="AD1082" s="765"/>
      <c r="AE1082" s="765"/>
      <c r="AF1082" s="765"/>
    </row>
    <row r="1083" spans="1:32" s="16" customFormat="1" ht="22.5" customHeight="1" x14ac:dyDescent="0.2">
      <c r="A1083" s="11"/>
      <c r="B1083" s="202" t="s">
        <v>481</v>
      </c>
      <c r="C1083" s="402" t="str">
        <f>'[1]4.NERACA'!C97</f>
        <v>Alat Laboratorium Lingkungan Hidup</v>
      </c>
      <c r="D1083" s="402"/>
      <c r="E1083" s="402"/>
      <c r="F1083" s="402"/>
      <c r="G1083" s="402"/>
      <c r="H1083" s="402"/>
      <c r="I1083" s="402"/>
      <c r="J1083" s="402"/>
      <c r="K1083" s="402"/>
      <c r="L1083" s="402"/>
      <c r="M1083" s="402"/>
      <c r="N1083" s="402"/>
      <c r="O1083" s="402"/>
      <c r="P1083" s="402"/>
      <c r="Q1083" s="402"/>
      <c r="R1083" s="402"/>
      <c r="S1083" s="402"/>
      <c r="T1083" s="402"/>
      <c r="U1083" s="402"/>
      <c r="V1083" s="23"/>
    </row>
    <row r="1084" spans="1:32" s="16" customFormat="1" ht="60.75" customHeight="1" x14ac:dyDescent="0.2">
      <c r="A1084" s="11"/>
      <c r="C1084" s="407" t="str">
        <f>"Nilai aset tetap berupa alat laboratorium lingkungan hidup per "&amp;'[1]2.ISIAN DATA SKPD'!D8&amp;" dan  "&amp;'[1]2.ISIAN DATA SKPD'!D12&amp;" adalah sebesar Rp. "&amp;FIXED(R1089)&amp;" dan Rp. "&amp;FIXED(B1089)&amp;" tidak mengalami kenaikan/penurunan sebesar Rp. "&amp;FIXED(AC1089)&amp;" atau sebesar "&amp;FIXED(Y1089)&amp;"% dari tahun "&amp;'[1]2.ISIAN DATA SKPD'!D12&amp;"."</f>
        <v>Nilai aset tetap berupa alat laboratorium lingkungan hidup per 31 Desember 2018 dan  2017 adalah sebesar Rp. 0,00 dan Rp. 0,00 tidak mengalami kenaikan/penurunan sebesar Rp. 0,00 atau sebesar 0,00% dari tahun 2017.</v>
      </c>
      <c r="D1084" s="407"/>
      <c r="E1084" s="407"/>
      <c r="F1084" s="407"/>
      <c r="G1084" s="407"/>
      <c r="H1084" s="407"/>
      <c r="I1084" s="407"/>
      <c r="J1084" s="407"/>
      <c r="K1084" s="407"/>
      <c r="L1084" s="407"/>
      <c r="M1084" s="407"/>
      <c r="N1084" s="407"/>
      <c r="O1084" s="407"/>
      <c r="P1084" s="407"/>
      <c r="Q1084" s="407"/>
      <c r="R1084" s="407"/>
      <c r="S1084" s="407"/>
      <c r="T1084" s="407"/>
      <c r="U1084" s="407"/>
      <c r="V1084" s="23"/>
    </row>
    <row r="1085" spans="1:32" s="16" customFormat="1" ht="17.25" customHeight="1" x14ac:dyDescent="0.2">
      <c r="A1085" s="11"/>
      <c r="B1085" s="77"/>
      <c r="C1085" s="407" t="str">
        <f>"Dengan mutasi  selama tahun "&amp;'[1]2.ISIAN DATA SKPD'!D11&amp;" sebagai berikut :"</f>
        <v>Dengan mutasi  selama tahun 2018 sebagai berikut :</v>
      </c>
      <c r="D1085" s="407"/>
      <c r="E1085" s="407"/>
      <c r="F1085" s="407"/>
      <c r="G1085" s="407"/>
      <c r="H1085" s="407"/>
      <c r="I1085" s="407"/>
      <c r="J1085" s="407"/>
      <c r="K1085" s="407"/>
      <c r="L1085" s="407"/>
      <c r="M1085" s="407"/>
      <c r="N1085" s="407"/>
      <c r="O1085" s="407"/>
      <c r="P1085" s="407"/>
      <c r="Q1085" s="407"/>
      <c r="R1085" s="407"/>
      <c r="S1085" s="407"/>
      <c r="T1085" s="407"/>
      <c r="U1085" s="407"/>
      <c r="V1085" s="23"/>
    </row>
    <row r="1086" spans="1:32" s="16" customFormat="1" ht="8.25" customHeight="1" x14ac:dyDescent="0.2">
      <c r="A1086" s="11"/>
      <c r="B1086" s="77"/>
      <c r="C1086" s="77"/>
      <c r="D1086" s="77"/>
      <c r="E1086" s="77"/>
      <c r="F1086" s="77"/>
      <c r="G1086" s="77"/>
      <c r="H1086" s="77"/>
      <c r="I1086" s="77"/>
      <c r="J1086" s="77"/>
      <c r="K1086" s="77"/>
      <c r="L1086" s="77"/>
      <c r="M1086" s="77"/>
      <c r="N1086" s="77"/>
      <c r="O1086" s="77"/>
      <c r="P1086" s="77"/>
      <c r="Q1086" s="77"/>
      <c r="R1086" s="77"/>
      <c r="S1086" s="77"/>
      <c r="T1086" s="77"/>
      <c r="U1086" s="77"/>
      <c r="V1086" s="23"/>
    </row>
    <row r="1087" spans="1:32" s="16" customFormat="1" ht="18" customHeight="1" x14ac:dyDescent="0.2">
      <c r="A1087" s="567" t="s">
        <v>125</v>
      </c>
      <c r="B1087" s="562" t="s">
        <v>443</v>
      </c>
      <c r="C1087" s="562"/>
      <c r="D1087" s="562"/>
      <c r="E1087" s="562"/>
      <c r="F1087" s="572" t="s">
        <v>444</v>
      </c>
      <c r="G1087" s="572"/>
      <c r="H1087" s="572"/>
      <c r="I1087" s="572"/>
      <c r="J1087" s="572"/>
      <c r="K1087" s="572"/>
      <c r="L1087" s="572" t="s">
        <v>445</v>
      </c>
      <c r="M1087" s="572"/>
      <c r="N1087" s="572"/>
      <c r="O1087" s="572"/>
      <c r="P1087" s="572"/>
      <c r="Q1087" s="572"/>
      <c r="R1087" s="562" t="s">
        <v>446</v>
      </c>
      <c r="S1087" s="562"/>
      <c r="T1087" s="562"/>
      <c r="U1087" s="562"/>
      <c r="V1087" s="23"/>
    </row>
    <row r="1088" spans="1:32" s="16" customFormat="1" ht="12.75" customHeight="1" x14ac:dyDescent="0.2">
      <c r="A1088" s="568"/>
      <c r="B1088" s="764">
        <f>B1046</f>
        <v>2017</v>
      </c>
      <c r="C1088" s="562"/>
      <c r="D1088" s="562"/>
      <c r="E1088" s="562"/>
      <c r="F1088" s="562" t="s">
        <v>447</v>
      </c>
      <c r="G1088" s="562"/>
      <c r="H1088" s="562"/>
      <c r="I1088" s="573" t="s">
        <v>448</v>
      </c>
      <c r="J1088" s="573"/>
      <c r="K1088" s="573"/>
      <c r="L1088" s="562" t="s">
        <v>447</v>
      </c>
      <c r="M1088" s="562"/>
      <c r="N1088" s="562"/>
      <c r="O1088" s="563" t="s">
        <v>448</v>
      </c>
      <c r="P1088" s="563"/>
      <c r="Q1088" s="563"/>
      <c r="R1088" s="713">
        <f>R1046</f>
        <v>2018</v>
      </c>
      <c r="S1088" s="714"/>
      <c r="T1088" s="714"/>
      <c r="U1088" s="715"/>
      <c r="V1088" s="487"/>
      <c r="W1088" s="480"/>
      <c r="X1088" s="480"/>
      <c r="Y1088" s="471" t="s">
        <v>449</v>
      </c>
      <c r="Z1088" s="480"/>
      <c r="AA1088" s="480"/>
      <c r="AB1088" s="480"/>
      <c r="AC1088" s="488" t="s">
        <v>438</v>
      </c>
      <c r="AD1088" s="489"/>
      <c r="AE1088" s="489"/>
      <c r="AF1088" s="489"/>
    </row>
    <row r="1089" spans="1:32" s="16" customFormat="1" ht="60" customHeight="1" x14ac:dyDescent="0.2">
      <c r="A1089" s="200" t="str">
        <f>C1083</f>
        <v>Alat Laboratorium Lingkungan Hidup</v>
      </c>
      <c r="B1089" s="580">
        <f>'[1]4.NERACA'!D97</f>
        <v>0</v>
      </c>
      <c r="C1089" s="581"/>
      <c r="D1089" s="581"/>
      <c r="E1089" s="582"/>
      <c r="F1089" s="580">
        <f>'[1]4.NERACA'!E97</f>
        <v>0</v>
      </c>
      <c r="G1089" s="581"/>
      <c r="H1089" s="582"/>
      <c r="I1089" s="682">
        <f>'[1]4.NERACA'!F97</f>
        <v>0</v>
      </c>
      <c r="J1089" s="683"/>
      <c r="K1089" s="684"/>
      <c r="L1089" s="580">
        <f>'[1]4.NERACA'!G97</f>
        <v>0</v>
      </c>
      <c r="M1089" s="581"/>
      <c r="N1089" s="582"/>
      <c r="O1089" s="580">
        <f>'[1]4.NERACA'!H97</f>
        <v>0</v>
      </c>
      <c r="P1089" s="581"/>
      <c r="Q1089" s="582"/>
      <c r="R1089" s="580">
        <f>B1089+F1089-I1089+L1089-O1089</f>
        <v>0</v>
      </c>
      <c r="S1089" s="581"/>
      <c r="T1089" s="581"/>
      <c r="U1089" s="582"/>
      <c r="V1089" s="479"/>
      <c r="W1089" s="480"/>
      <c r="X1089" s="480"/>
      <c r="Y1089" s="471">
        <v>0</v>
      </c>
      <c r="Z1089" s="480"/>
      <c r="AA1089" s="480"/>
      <c r="AB1089" s="480"/>
      <c r="AC1089" s="471">
        <f>R1089-B1089</f>
        <v>0</v>
      </c>
      <c r="AD1089" s="472"/>
      <c r="AE1089" s="472"/>
      <c r="AF1089" s="472"/>
    </row>
    <row r="1090" spans="1:32" s="16" customFormat="1" ht="22.5" customHeight="1" x14ac:dyDescent="0.2">
      <c r="A1090" s="11"/>
      <c r="B1090" s="408" t="s">
        <v>461</v>
      </c>
      <c r="C1090" s="408"/>
      <c r="D1090" s="408"/>
      <c r="E1090" s="408"/>
      <c r="F1090" s="408"/>
      <c r="G1090" s="408"/>
      <c r="H1090" s="408"/>
      <c r="I1090" s="408"/>
      <c r="J1090" s="408"/>
      <c r="K1090" s="408"/>
      <c r="L1090" s="408"/>
      <c r="M1090" s="408"/>
      <c r="N1090" s="408"/>
      <c r="O1090" s="408"/>
      <c r="P1090" s="408"/>
      <c r="Q1090" s="408"/>
      <c r="R1090" s="408"/>
      <c r="S1090" s="408"/>
      <c r="T1090" s="408"/>
      <c r="U1090" s="408"/>
      <c r="V1090" s="23"/>
    </row>
    <row r="1091" spans="1:32" s="16" customFormat="1" ht="22.5" customHeight="1" x14ac:dyDescent="0.2">
      <c r="A1091" s="11"/>
      <c r="B1091" s="125"/>
      <c r="C1091" s="408" t="s">
        <v>462</v>
      </c>
      <c r="D1091" s="408"/>
      <c r="E1091" s="408"/>
      <c r="F1091" s="408"/>
      <c r="G1091" s="408"/>
      <c r="H1091" s="408"/>
      <c r="I1091" s="408"/>
      <c r="J1091" s="408"/>
      <c r="K1091" s="408"/>
      <c r="L1091" s="408"/>
      <c r="M1091" s="408"/>
      <c r="N1091" s="408"/>
      <c r="O1091" s="408"/>
      <c r="P1091" s="408"/>
      <c r="Q1091" s="408"/>
      <c r="R1091" s="408"/>
      <c r="S1091" s="408"/>
      <c r="T1091" s="408"/>
      <c r="U1091" s="408"/>
      <c r="V1091" s="23"/>
    </row>
    <row r="1092" spans="1:32" s="16" customFormat="1" ht="20.25" customHeight="1" x14ac:dyDescent="0.2">
      <c r="A1092" s="11"/>
      <c r="B1092" s="125"/>
      <c r="C1092" s="408" t="str">
        <f>"Mutasi Debet sebesar Rp. "&amp;FIXED(F1089+L1089)&amp;". "</f>
        <v xml:space="preserve">Mutasi Debet sebesar Rp. 0,00. </v>
      </c>
      <c r="D1092" s="408"/>
      <c r="E1092" s="408"/>
      <c r="F1092" s="408"/>
      <c r="G1092" s="408"/>
      <c r="H1092" s="408"/>
      <c r="I1092" s="408"/>
      <c r="J1092" s="408"/>
      <c r="K1092" s="408"/>
      <c r="L1092" s="408"/>
      <c r="M1092" s="408"/>
      <c r="N1092" s="408"/>
      <c r="O1092" s="408"/>
      <c r="P1092" s="408"/>
      <c r="Q1092" s="408"/>
      <c r="R1092" s="408"/>
      <c r="S1092" s="408"/>
      <c r="T1092" s="408"/>
      <c r="U1092" s="408"/>
      <c r="V1092" s="23"/>
    </row>
    <row r="1093" spans="1:32" s="16" customFormat="1" ht="22.5" customHeight="1" x14ac:dyDescent="0.2">
      <c r="A1093" s="11"/>
      <c r="B1093" s="125"/>
      <c r="C1093" s="408" t="s">
        <v>463</v>
      </c>
      <c r="D1093" s="408"/>
      <c r="E1093" s="408"/>
      <c r="F1093" s="408"/>
      <c r="G1093" s="408"/>
      <c r="H1093" s="408"/>
      <c r="I1093" s="408"/>
      <c r="J1093" s="408"/>
      <c r="K1093" s="408"/>
      <c r="L1093" s="408"/>
      <c r="M1093" s="408"/>
      <c r="N1093" s="408"/>
      <c r="O1093" s="408"/>
      <c r="P1093" s="408"/>
      <c r="Q1093" s="408"/>
      <c r="R1093" s="408"/>
      <c r="S1093" s="408"/>
      <c r="T1093" s="408"/>
      <c r="U1093" s="408"/>
      <c r="V1093" s="23"/>
    </row>
    <row r="1094" spans="1:32" s="16" customFormat="1" ht="18.75" customHeight="1" x14ac:dyDescent="0.2">
      <c r="A1094" s="11"/>
      <c r="B1094" s="125"/>
      <c r="C1094" s="408" t="str">
        <f>"Mutasi Kredit Rp. "&amp;FIXED(I1089+O1089)&amp;"."</f>
        <v>Mutasi Kredit Rp. 0,00.</v>
      </c>
      <c r="D1094" s="408"/>
      <c r="E1094" s="408"/>
      <c r="F1094" s="408"/>
      <c r="G1094" s="408"/>
      <c r="H1094" s="408"/>
      <c r="I1094" s="408"/>
      <c r="J1094" s="408"/>
      <c r="K1094" s="408"/>
      <c r="L1094" s="408"/>
      <c r="M1094" s="408"/>
      <c r="N1094" s="408"/>
      <c r="O1094" s="408"/>
      <c r="P1094" s="408"/>
      <c r="Q1094" s="408"/>
      <c r="R1094" s="408"/>
      <c r="S1094" s="408"/>
      <c r="T1094" s="408"/>
      <c r="U1094" s="408"/>
      <c r="V1094" s="23"/>
    </row>
    <row r="1095" spans="1:32" s="16" customFormat="1" ht="23.25" customHeight="1" x14ac:dyDescent="0.2">
      <c r="A1095" s="11"/>
      <c r="B1095" s="29"/>
      <c r="C1095" s="20"/>
      <c r="D1095" s="20"/>
      <c r="E1095" s="20"/>
      <c r="F1095" s="20"/>
      <c r="G1095" s="20"/>
      <c r="H1095" s="20"/>
      <c r="I1095" s="20"/>
      <c r="J1095" s="20"/>
      <c r="K1095" s="20"/>
      <c r="L1095" s="20"/>
      <c r="M1095" s="20"/>
      <c r="N1095" s="20"/>
      <c r="O1095" s="20"/>
      <c r="P1095" s="20"/>
      <c r="Q1095" s="20"/>
      <c r="R1095" s="20"/>
      <c r="S1095" s="20"/>
      <c r="T1095" s="20"/>
      <c r="U1095" s="20"/>
      <c r="V1095" s="23"/>
    </row>
    <row r="1096" spans="1:32" s="16" customFormat="1" ht="20.25" customHeight="1" x14ac:dyDescent="0.2">
      <c r="A1096" s="11"/>
      <c r="B1096" s="213" t="s">
        <v>482</v>
      </c>
      <c r="C1096" s="402" t="str">
        <f>'[1]4.NERACA'!C98</f>
        <v>Alat Keamanan dan Perlindungan</v>
      </c>
      <c r="D1096" s="402"/>
      <c r="E1096" s="402"/>
      <c r="F1096" s="402"/>
      <c r="G1096" s="402"/>
      <c r="H1096" s="402"/>
      <c r="I1096" s="402"/>
      <c r="J1096" s="402"/>
      <c r="K1096" s="402"/>
      <c r="L1096" s="402"/>
      <c r="M1096" s="402"/>
      <c r="N1096" s="402"/>
      <c r="O1096" s="402"/>
      <c r="P1096" s="402"/>
      <c r="Q1096" s="402"/>
      <c r="R1096" s="402"/>
      <c r="S1096" s="402"/>
      <c r="T1096" s="402"/>
      <c r="U1096" s="402"/>
      <c r="V1096" s="23"/>
    </row>
    <row r="1097" spans="1:32" s="16" customFormat="1" ht="63.75" customHeight="1" x14ac:dyDescent="0.2">
      <c r="A1097" s="11"/>
      <c r="C1097" s="407" t="str">
        <f>"Nilai aset tetap berupa alat keamanan dan perlindungan per "&amp;'[1]2.ISIAN DATA SKPD'!D8&amp;" dan  "&amp;'[1]2.ISIAN DATA SKPD'!D12&amp;" adalah sebesar Rp. "&amp;FIXED(R1102)&amp;" dan Rp. "&amp;FIXED(B1102)&amp;" tidak mengalami kenaikan/penurunan sebesar Rp. "&amp;FIXED(AC1102)&amp;" atau sebesar "&amp;FIXED(Y1102)&amp;"% dari tahun "&amp;'[1]2.ISIAN DATA SKPD'!D11&amp;"."</f>
        <v>Nilai aset tetap berupa alat keamanan dan perlindungan per 31 Desember 2018 dan  2017 adalah sebesar Rp. 30.267.629,00 dan Rp. 0,00 tidak mengalami kenaikan/penurunan sebesar Rp. 30.267.629,00 atau sebesar 0,00% dari tahun 2018.</v>
      </c>
      <c r="D1097" s="407"/>
      <c r="E1097" s="407"/>
      <c r="F1097" s="407"/>
      <c r="G1097" s="407"/>
      <c r="H1097" s="407"/>
      <c r="I1097" s="407"/>
      <c r="J1097" s="407"/>
      <c r="K1097" s="407"/>
      <c r="L1097" s="407"/>
      <c r="M1097" s="407"/>
      <c r="N1097" s="407"/>
      <c r="O1097" s="407"/>
      <c r="P1097" s="407"/>
      <c r="Q1097" s="407"/>
      <c r="R1097" s="407"/>
      <c r="S1097" s="407"/>
      <c r="T1097" s="407"/>
      <c r="U1097" s="407"/>
      <c r="V1097" s="23"/>
    </row>
    <row r="1098" spans="1:32" s="16" customFormat="1" ht="19.5" customHeight="1" x14ac:dyDescent="0.2">
      <c r="A1098" s="11"/>
      <c r="B1098" s="77"/>
      <c r="C1098" s="407" t="str">
        <f>"Dengan mutasi  selama tahun "&amp;'[1]2.ISIAN DATA SKPD'!D203&amp;" sebagai berikut :"</f>
        <v>Dengan mutasi  selama tahun  sebagai berikut :</v>
      </c>
      <c r="D1098" s="407"/>
      <c r="E1098" s="407"/>
      <c r="F1098" s="407"/>
      <c r="G1098" s="407"/>
      <c r="H1098" s="407"/>
      <c r="I1098" s="407"/>
      <c r="J1098" s="407"/>
      <c r="K1098" s="407"/>
      <c r="L1098" s="407"/>
      <c r="M1098" s="407"/>
      <c r="N1098" s="407"/>
      <c r="O1098" s="407"/>
      <c r="P1098" s="407"/>
      <c r="Q1098" s="407"/>
      <c r="R1098" s="407"/>
      <c r="S1098" s="407"/>
      <c r="T1098" s="407"/>
      <c r="U1098" s="407"/>
      <c r="V1098" s="23"/>
    </row>
    <row r="1099" spans="1:32" s="16" customFormat="1" ht="19.5" customHeight="1" x14ac:dyDescent="0.2">
      <c r="A1099" s="11"/>
      <c r="B1099" s="77"/>
      <c r="C1099" s="77"/>
      <c r="D1099" s="77"/>
      <c r="E1099" s="77"/>
      <c r="F1099" s="77"/>
      <c r="G1099" s="77"/>
      <c r="H1099" s="77"/>
      <c r="I1099" s="77"/>
      <c r="J1099" s="77"/>
      <c r="K1099" s="77"/>
      <c r="L1099" s="77"/>
      <c r="M1099" s="77"/>
      <c r="N1099" s="77"/>
      <c r="O1099" s="77"/>
      <c r="P1099" s="77"/>
      <c r="Q1099" s="77"/>
      <c r="R1099" s="77"/>
      <c r="S1099" s="77"/>
      <c r="T1099" s="77"/>
      <c r="U1099" s="77"/>
      <c r="V1099" s="23"/>
    </row>
    <row r="1100" spans="1:32" s="16" customFormat="1" ht="19.5" customHeight="1" x14ac:dyDescent="0.2">
      <c r="A1100" s="567" t="s">
        <v>125</v>
      </c>
      <c r="B1100" s="562" t="s">
        <v>443</v>
      </c>
      <c r="C1100" s="562"/>
      <c r="D1100" s="562"/>
      <c r="E1100" s="562"/>
      <c r="F1100" s="572" t="s">
        <v>444</v>
      </c>
      <c r="G1100" s="572"/>
      <c r="H1100" s="572"/>
      <c r="I1100" s="572"/>
      <c r="J1100" s="572"/>
      <c r="K1100" s="572"/>
      <c r="L1100" s="572" t="s">
        <v>445</v>
      </c>
      <c r="M1100" s="572"/>
      <c r="N1100" s="572"/>
      <c r="O1100" s="572"/>
      <c r="P1100" s="572"/>
      <c r="Q1100" s="572"/>
      <c r="R1100" s="562" t="s">
        <v>446</v>
      </c>
      <c r="S1100" s="562"/>
      <c r="T1100" s="562"/>
      <c r="U1100" s="562"/>
      <c r="V1100" s="23"/>
    </row>
    <row r="1101" spans="1:32" s="16" customFormat="1" ht="18.75" customHeight="1" x14ac:dyDescent="0.2">
      <c r="A1101" s="568"/>
      <c r="B1101" s="764">
        <f>B1088</f>
        <v>2017</v>
      </c>
      <c r="C1101" s="562"/>
      <c r="D1101" s="562"/>
      <c r="E1101" s="562"/>
      <c r="F1101" s="562" t="s">
        <v>447</v>
      </c>
      <c r="G1101" s="562"/>
      <c r="H1101" s="562"/>
      <c r="I1101" s="573" t="s">
        <v>448</v>
      </c>
      <c r="J1101" s="573"/>
      <c r="K1101" s="573"/>
      <c r="L1101" s="562" t="s">
        <v>447</v>
      </c>
      <c r="M1101" s="562"/>
      <c r="N1101" s="562"/>
      <c r="O1101" s="563" t="s">
        <v>448</v>
      </c>
      <c r="P1101" s="563"/>
      <c r="Q1101" s="563"/>
      <c r="R1101" s="713">
        <f>R1088</f>
        <v>2018</v>
      </c>
      <c r="S1101" s="714"/>
      <c r="T1101" s="714"/>
      <c r="U1101" s="715"/>
      <c r="V1101" s="487"/>
      <c r="W1101" s="480"/>
      <c r="X1101" s="480"/>
      <c r="Y1101" s="471" t="s">
        <v>449</v>
      </c>
      <c r="Z1101" s="480"/>
      <c r="AA1101" s="480"/>
      <c r="AB1101" s="480"/>
      <c r="AC1101" s="488" t="s">
        <v>438</v>
      </c>
      <c r="AD1101" s="489"/>
      <c r="AE1101" s="489"/>
      <c r="AF1101" s="489"/>
    </row>
    <row r="1102" spans="1:32" s="16" customFormat="1" ht="44.25" customHeight="1" x14ac:dyDescent="0.2">
      <c r="A1102" s="214" t="str">
        <f>C1096</f>
        <v>Alat Keamanan dan Perlindungan</v>
      </c>
      <c r="B1102" s="580">
        <f>'[1]4.NERACA'!D98</f>
        <v>0</v>
      </c>
      <c r="C1102" s="581"/>
      <c r="D1102" s="581"/>
      <c r="E1102" s="582"/>
      <c r="F1102" s="580">
        <f>'[1]4.NERACA'!E98</f>
        <v>0</v>
      </c>
      <c r="G1102" s="581"/>
      <c r="H1102" s="582"/>
      <c r="I1102" s="682">
        <f>'[1]4.NERACA'!F98</f>
        <v>19753371</v>
      </c>
      <c r="J1102" s="683"/>
      <c r="K1102" s="684"/>
      <c r="L1102" s="580">
        <f>'[1]4.NERACA'!G98</f>
        <v>50021000</v>
      </c>
      <c r="M1102" s="581"/>
      <c r="N1102" s="582"/>
      <c r="O1102" s="580">
        <f>'[1]4.NERACA'!H98</f>
        <v>0</v>
      </c>
      <c r="P1102" s="581"/>
      <c r="Q1102" s="582"/>
      <c r="R1102" s="580">
        <f>B1102+F1102-I1102+L1102-O1102</f>
        <v>30267629</v>
      </c>
      <c r="S1102" s="581"/>
      <c r="T1102" s="581"/>
      <c r="U1102" s="582"/>
      <c r="V1102" s="479"/>
      <c r="W1102" s="480"/>
      <c r="X1102" s="480"/>
      <c r="Y1102" s="471">
        <v>0</v>
      </c>
      <c r="Z1102" s="480"/>
      <c r="AA1102" s="480"/>
      <c r="AB1102" s="480"/>
      <c r="AC1102" s="471">
        <f>R1102-B1102</f>
        <v>30267629</v>
      </c>
      <c r="AD1102" s="472"/>
      <c r="AE1102" s="472"/>
      <c r="AF1102" s="472"/>
    </row>
    <row r="1103" spans="1:32" s="16" customFormat="1" ht="18.75" customHeight="1" x14ac:dyDescent="0.2">
      <c r="A1103" s="11"/>
      <c r="B1103" s="408" t="s">
        <v>461</v>
      </c>
      <c r="C1103" s="408"/>
      <c r="D1103" s="408"/>
      <c r="E1103" s="408"/>
      <c r="F1103" s="408"/>
      <c r="G1103" s="408"/>
      <c r="H1103" s="408"/>
      <c r="I1103" s="408"/>
      <c r="J1103" s="408"/>
      <c r="K1103" s="408"/>
      <c r="L1103" s="408"/>
      <c r="M1103" s="408"/>
      <c r="N1103" s="408"/>
      <c r="O1103" s="408"/>
      <c r="P1103" s="408"/>
      <c r="Q1103" s="408"/>
      <c r="R1103" s="408"/>
      <c r="S1103" s="408"/>
      <c r="T1103" s="408"/>
      <c r="U1103" s="408"/>
      <c r="V1103" s="23"/>
    </row>
    <row r="1104" spans="1:32" s="16" customFormat="1" ht="17.25" customHeight="1" x14ac:dyDescent="0.2">
      <c r="A1104" s="11"/>
      <c r="B1104" s="125"/>
      <c r="C1104" s="408" t="s">
        <v>462</v>
      </c>
      <c r="D1104" s="408"/>
      <c r="E1104" s="408"/>
      <c r="F1104" s="408"/>
      <c r="G1104" s="408"/>
      <c r="H1104" s="408"/>
      <c r="I1104" s="408"/>
      <c r="J1104" s="408"/>
      <c r="K1104" s="408"/>
      <c r="L1104" s="408"/>
      <c r="M1104" s="408"/>
      <c r="N1104" s="408"/>
      <c r="O1104" s="408"/>
      <c r="P1104" s="408"/>
      <c r="Q1104" s="408"/>
      <c r="R1104" s="408"/>
      <c r="S1104" s="408"/>
      <c r="T1104" s="408"/>
      <c r="U1104" s="408"/>
      <c r="V1104" s="23"/>
    </row>
    <row r="1105" spans="1:22" s="16" customFormat="1" ht="21" customHeight="1" x14ac:dyDescent="0.2">
      <c r="A1105" s="11"/>
      <c r="B1105" s="125"/>
      <c r="C1105" s="408" t="str">
        <f>"Mutasi Debet sebesar Rp. "&amp;FIXED(F1102+L1102)&amp;"."</f>
        <v>Mutasi Debet sebesar Rp. 50.021.000,00.</v>
      </c>
      <c r="D1105" s="408"/>
      <c r="E1105" s="408"/>
      <c r="F1105" s="408"/>
      <c r="G1105" s="408"/>
      <c r="H1105" s="408"/>
      <c r="I1105" s="408"/>
      <c r="J1105" s="408"/>
      <c r="K1105" s="408"/>
      <c r="L1105" s="408"/>
      <c r="M1105" s="408"/>
      <c r="N1105" s="408"/>
      <c r="O1105" s="408"/>
      <c r="P1105" s="408"/>
      <c r="Q1105" s="408"/>
      <c r="R1105" s="408"/>
      <c r="S1105" s="408"/>
      <c r="T1105" s="408"/>
      <c r="U1105" s="408"/>
      <c r="V1105" s="23"/>
    </row>
    <row r="1106" spans="1:22" s="16" customFormat="1" ht="18.75" customHeight="1" x14ac:dyDescent="0.2">
      <c r="A1106" s="11"/>
      <c r="B1106" s="125"/>
      <c r="C1106" s="408" t="s">
        <v>463</v>
      </c>
      <c r="D1106" s="408"/>
      <c r="E1106" s="408"/>
      <c r="F1106" s="408"/>
      <c r="G1106" s="408"/>
      <c r="H1106" s="408"/>
      <c r="I1106" s="408"/>
      <c r="J1106" s="408"/>
      <c r="K1106" s="408"/>
      <c r="L1106" s="408"/>
      <c r="M1106" s="408"/>
      <c r="N1106" s="408"/>
      <c r="O1106" s="408"/>
      <c r="P1106" s="408"/>
      <c r="Q1106" s="408"/>
      <c r="R1106" s="408"/>
      <c r="S1106" s="408"/>
      <c r="T1106" s="408"/>
      <c r="U1106" s="408"/>
      <c r="V1106" s="23"/>
    </row>
    <row r="1107" spans="1:22" s="16" customFormat="1" ht="20.25" customHeight="1" x14ac:dyDescent="0.2">
      <c r="A1107" s="11"/>
      <c r="B1107" s="125"/>
      <c r="C1107" s="408" t="str">
        <f>"Mutasi Kredit Rp. "&amp;FIXED(I1102+O1102)&amp;"."</f>
        <v>Mutasi Kredit Rp. 19.753.371,00.</v>
      </c>
      <c r="D1107" s="408"/>
      <c r="E1107" s="408"/>
      <c r="F1107" s="408"/>
      <c r="G1107" s="408"/>
      <c r="H1107" s="408"/>
      <c r="I1107" s="408"/>
      <c r="J1107" s="408"/>
      <c r="K1107" s="408"/>
      <c r="L1107" s="408"/>
      <c r="M1107" s="408"/>
      <c r="N1107" s="408"/>
      <c r="O1107" s="408"/>
      <c r="P1107" s="408"/>
      <c r="Q1107" s="408"/>
      <c r="R1107" s="408"/>
      <c r="S1107" s="408"/>
      <c r="T1107" s="408"/>
      <c r="U1107" s="408"/>
      <c r="V1107" s="23"/>
    </row>
    <row r="1108" spans="1:22" s="16" customFormat="1" ht="18.75" customHeight="1" x14ac:dyDescent="0.2">
      <c r="A1108" s="11"/>
      <c r="B1108" s="203"/>
      <c r="C1108" s="37"/>
      <c r="D1108" s="37"/>
      <c r="E1108" s="37"/>
      <c r="F1108" s="37"/>
      <c r="G1108" s="37"/>
      <c r="H1108" s="37"/>
      <c r="I1108" s="37"/>
      <c r="J1108" s="37"/>
      <c r="K1108" s="37"/>
      <c r="L1108" s="37"/>
      <c r="M1108" s="37"/>
      <c r="N1108" s="37"/>
      <c r="O1108" s="37"/>
      <c r="P1108" s="37"/>
      <c r="Q1108" s="37"/>
      <c r="R1108" s="37"/>
      <c r="S1108" s="37"/>
      <c r="T1108" s="37"/>
      <c r="U1108" s="37"/>
      <c r="V1108" s="23"/>
    </row>
    <row r="1109" spans="1:22" s="16" customFormat="1" ht="32.25" customHeight="1" x14ac:dyDescent="0.25">
      <c r="A1109" s="11"/>
      <c r="B1109" s="743" t="str">
        <f>"Rincian saldo Peralatan dan Mesin per "&amp;'[1]2.ISIAN DATA SKPD'!D8&amp;" adalah sebagai berikut:"</f>
        <v>Rincian saldo Peralatan dan Mesin per 31 Desember 2018 adalah sebagai berikut:</v>
      </c>
      <c r="C1109" s="743"/>
      <c r="D1109" s="743"/>
      <c r="E1109" s="743"/>
      <c r="F1109" s="743"/>
      <c r="G1109" s="743"/>
      <c r="H1109" s="743"/>
      <c r="I1109" s="743"/>
      <c r="J1109" s="743"/>
      <c r="K1109" s="743"/>
      <c r="L1109" s="743"/>
      <c r="M1109" s="743"/>
      <c r="N1109" s="743"/>
      <c r="O1109" s="743"/>
      <c r="P1109" s="743"/>
      <c r="Q1109" s="743"/>
      <c r="R1109" s="743"/>
      <c r="S1109" s="743"/>
      <c r="T1109" s="743"/>
      <c r="U1109" s="743"/>
      <c r="V1109" s="23"/>
    </row>
    <row r="1110" spans="1:22" s="16" customFormat="1" ht="18.75" customHeight="1" x14ac:dyDescent="0.25">
      <c r="A1110" s="11"/>
      <c r="B1110" s="215"/>
      <c r="C1110" s="215"/>
      <c r="D1110" s="215"/>
      <c r="E1110" s="215"/>
      <c r="F1110" s="215"/>
      <c r="G1110" s="215"/>
      <c r="H1110" s="215"/>
      <c r="I1110" s="215"/>
      <c r="J1110" s="215"/>
      <c r="K1110" s="215"/>
      <c r="L1110" s="215"/>
      <c r="M1110" s="215"/>
      <c r="N1110" s="215"/>
      <c r="O1110" s="215"/>
      <c r="P1110" s="215"/>
      <c r="Q1110" s="215"/>
      <c r="R1110" s="215"/>
      <c r="S1110" s="215"/>
      <c r="T1110" s="215"/>
      <c r="U1110" s="215"/>
      <c r="V1110" s="23"/>
    </row>
    <row r="1111" spans="1:22" s="16" customFormat="1" ht="18.75" customHeight="1" x14ac:dyDescent="0.2">
      <c r="A1111" s="11"/>
      <c r="B1111" s="641" t="s">
        <v>209</v>
      </c>
      <c r="C1111" s="643"/>
      <c r="D1111" s="641" t="s">
        <v>329</v>
      </c>
      <c r="E1111" s="642"/>
      <c r="F1111" s="642"/>
      <c r="G1111" s="642"/>
      <c r="H1111" s="642"/>
      <c r="I1111" s="642"/>
      <c r="J1111" s="762"/>
      <c r="K1111" s="762"/>
      <c r="L1111" s="762"/>
      <c r="M1111" s="762"/>
      <c r="N1111" s="762"/>
      <c r="O1111" s="762"/>
      <c r="P1111" s="763"/>
      <c r="Q1111" s="641" t="s">
        <v>455</v>
      </c>
      <c r="R1111" s="642"/>
      <c r="S1111" s="642"/>
      <c r="T1111" s="642"/>
      <c r="U1111" s="643"/>
      <c r="V1111" s="23"/>
    </row>
    <row r="1112" spans="1:22" s="16" customFormat="1" ht="18.75" customHeight="1" x14ac:dyDescent="0.2">
      <c r="A1112" s="11"/>
      <c r="B1112" s="749">
        <v>1</v>
      </c>
      <c r="C1112" s="750"/>
      <c r="D1112" s="751" t="str">
        <f>'[1]4.NERACA'!C77</f>
        <v>Alat-Alat Besar Darat</v>
      </c>
      <c r="E1112" s="752"/>
      <c r="F1112" s="752"/>
      <c r="G1112" s="752"/>
      <c r="H1112" s="752"/>
      <c r="I1112" s="752"/>
      <c r="J1112" s="753"/>
      <c r="K1112" s="753"/>
      <c r="L1112" s="753"/>
      <c r="M1112" s="753"/>
      <c r="N1112" s="753"/>
      <c r="O1112" s="753"/>
      <c r="P1112" s="754"/>
      <c r="Q1112" s="734">
        <f>'[1]4.NERACA'!I77</f>
        <v>0</v>
      </c>
      <c r="R1112" s="735"/>
      <c r="S1112" s="735"/>
      <c r="T1112" s="735"/>
      <c r="U1112" s="736"/>
      <c r="V1112" s="23"/>
    </row>
    <row r="1113" spans="1:22" s="16" customFormat="1" ht="18.75" customHeight="1" x14ac:dyDescent="0.2">
      <c r="A1113" s="11"/>
      <c r="B1113" s="749">
        <f>B1112+1</f>
        <v>2</v>
      </c>
      <c r="C1113" s="750"/>
      <c r="D1113" s="751" t="str">
        <f>'[1]4.NERACA'!C78</f>
        <v>Alat-alat Bantu</v>
      </c>
      <c r="E1113" s="752"/>
      <c r="F1113" s="752"/>
      <c r="G1113" s="752"/>
      <c r="H1113" s="752"/>
      <c r="I1113" s="752"/>
      <c r="J1113" s="753"/>
      <c r="K1113" s="753"/>
      <c r="L1113" s="753"/>
      <c r="M1113" s="753"/>
      <c r="N1113" s="753"/>
      <c r="O1113" s="753"/>
      <c r="P1113" s="754"/>
      <c r="Q1113" s="734">
        <f>'[1]4.NERACA'!I78</f>
        <v>5000000</v>
      </c>
      <c r="R1113" s="735"/>
      <c r="S1113" s="735"/>
      <c r="T1113" s="735"/>
      <c r="U1113" s="736"/>
      <c r="V1113" s="23"/>
    </row>
    <row r="1114" spans="1:22" s="16" customFormat="1" ht="18.75" customHeight="1" x14ac:dyDescent="0.2">
      <c r="A1114" s="11"/>
      <c r="B1114" s="749">
        <f t="shared" ref="B1114:B1133" si="25">B1113+1</f>
        <v>3</v>
      </c>
      <c r="C1114" s="750"/>
      <c r="D1114" s="751" t="str">
        <f>'[1]4.NERACA'!C79</f>
        <v>Alat Angkutan Darat Bermotor</v>
      </c>
      <c r="E1114" s="752"/>
      <c r="F1114" s="752"/>
      <c r="G1114" s="752"/>
      <c r="H1114" s="752"/>
      <c r="I1114" s="752"/>
      <c r="J1114" s="753"/>
      <c r="K1114" s="753"/>
      <c r="L1114" s="753"/>
      <c r="M1114" s="753"/>
      <c r="N1114" s="753"/>
      <c r="O1114" s="753"/>
      <c r="P1114" s="754"/>
      <c r="Q1114" s="734">
        <f>'[1]4.NERACA'!I79</f>
        <v>565636804</v>
      </c>
      <c r="R1114" s="735"/>
      <c r="S1114" s="735"/>
      <c r="T1114" s="735"/>
      <c r="U1114" s="736"/>
      <c r="V1114" s="23"/>
    </row>
    <row r="1115" spans="1:22" s="16" customFormat="1" ht="18.75" customHeight="1" x14ac:dyDescent="0.2">
      <c r="A1115" s="11"/>
      <c r="B1115" s="749">
        <f t="shared" si="25"/>
        <v>4</v>
      </c>
      <c r="C1115" s="750"/>
      <c r="D1115" s="751" t="str">
        <f>'[1]4.NERACA'!C80</f>
        <v>Alat Angkutan Berat Tak Bermotor</v>
      </c>
      <c r="E1115" s="752"/>
      <c r="F1115" s="752"/>
      <c r="G1115" s="752"/>
      <c r="H1115" s="752"/>
      <c r="I1115" s="752"/>
      <c r="J1115" s="753"/>
      <c r="K1115" s="753"/>
      <c r="L1115" s="753"/>
      <c r="M1115" s="753"/>
      <c r="N1115" s="753"/>
      <c r="O1115" s="753"/>
      <c r="P1115" s="754"/>
      <c r="Q1115" s="734">
        <f>'[1]4.NERACA'!I80</f>
        <v>0</v>
      </c>
      <c r="R1115" s="735"/>
      <c r="S1115" s="735"/>
      <c r="T1115" s="735"/>
      <c r="U1115" s="736"/>
      <c r="V1115" s="23"/>
    </row>
    <row r="1116" spans="1:22" s="16" customFormat="1" ht="18.75" customHeight="1" x14ac:dyDescent="0.2">
      <c r="A1116" s="11"/>
      <c r="B1116" s="749">
        <f t="shared" si="25"/>
        <v>5</v>
      </c>
      <c r="C1116" s="750"/>
      <c r="D1116" s="751" t="str">
        <f>'[1]4.NERACA'!C81</f>
        <v>Alat Ukur</v>
      </c>
      <c r="E1116" s="752"/>
      <c r="F1116" s="752"/>
      <c r="G1116" s="752"/>
      <c r="H1116" s="752"/>
      <c r="I1116" s="752"/>
      <c r="J1116" s="753"/>
      <c r="K1116" s="753"/>
      <c r="L1116" s="753"/>
      <c r="M1116" s="753"/>
      <c r="N1116" s="753"/>
      <c r="O1116" s="753"/>
      <c r="P1116" s="754"/>
      <c r="Q1116" s="734">
        <f>'[1]4.NERACA'!I81</f>
        <v>12283700</v>
      </c>
      <c r="R1116" s="735"/>
      <c r="S1116" s="735"/>
      <c r="T1116" s="735"/>
      <c r="U1116" s="736"/>
      <c r="V1116" s="23"/>
    </row>
    <row r="1117" spans="1:22" s="16" customFormat="1" ht="18.75" customHeight="1" x14ac:dyDescent="0.2">
      <c r="A1117" s="11"/>
      <c r="B1117" s="749">
        <f t="shared" si="25"/>
        <v>6</v>
      </c>
      <c r="C1117" s="750"/>
      <c r="D1117" s="751" t="str">
        <f>'[1]4.NERACA'!C82</f>
        <v>Alat Kantor</v>
      </c>
      <c r="E1117" s="752"/>
      <c r="F1117" s="752"/>
      <c r="G1117" s="752"/>
      <c r="H1117" s="752"/>
      <c r="I1117" s="752"/>
      <c r="J1117" s="753"/>
      <c r="K1117" s="753"/>
      <c r="L1117" s="753"/>
      <c r="M1117" s="753"/>
      <c r="N1117" s="753"/>
      <c r="O1117" s="753"/>
      <c r="P1117" s="754"/>
      <c r="Q1117" s="734">
        <f>'[1]4.NERACA'!I82</f>
        <v>393686940</v>
      </c>
      <c r="R1117" s="735"/>
      <c r="S1117" s="735"/>
      <c r="T1117" s="735"/>
      <c r="U1117" s="736"/>
      <c r="V1117" s="23"/>
    </row>
    <row r="1118" spans="1:22" s="16" customFormat="1" ht="18.75" customHeight="1" x14ac:dyDescent="0.2">
      <c r="A1118" s="11"/>
      <c r="B1118" s="749">
        <f t="shared" si="25"/>
        <v>7</v>
      </c>
      <c r="C1118" s="750"/>
      <c r="D1118" s="751" t="str">
        <f>'[1]4.NERACA'!C83</f>
        <v>Alat Rumah Tangga</v>
      </c>
      <c r="E1118" s="752"/>
      <c r="F1118" s="752"/>
      <c r="G1118" s="752"/>
      <c r="H1118" s="752"/>
      <c r="I1118" s="752"/>
      <c r="J1118" s="753"/>
      <c r="K1118" s="753"/>
      <c r="L1118" s="753"/>
      <c r="M1118" s="753"/>
      <c r="N1118" s="753"/>
      <c r="O1118" s="753"/>
      <c r="P1118" s="754"/>
      <c r="Q1118" s="734">
        <f>'[1]4.NERACA'!I83</f>
        <v>379235992.00040001</v>
      </c>
      <c r="R1118" s="735"/>
      <c r="S1118" s="735"/>
      <c r="T1118" s="735"/>
      <c r="U1118" s="736"/>
      <c r="V1118" s="23"/>
    </row>
    <row r="1119" spans="1:22" s="16" customFormat="1" ht="18.75" customHeight="1" x14ac:dyDescent="0.2">
      <c r="A1119" s="11"/>
      <c r="B1119" s="749">
        <f t="shared" si="25"/>
        <v>8</v>
      </c>
      <c r="C1119" s="750"/>
      <c r="D1119" s="751" t="str">
        <f>'[1]4.NERACA'!C84</f>
        <v>Komputer</v>
      </c>
      <c r="E1119" s="752"/>
      <c r="F1119" s="752"/>
      <c r="G1119" s="752"/>
      <c r="H1119" s="752"/>
      <c r="I1119" s="752"/>
      <c r="J1119" s="753"/>
      <c r="K1119" s="753"/>
      <c r="L1119" s="753"/>
      <c r="M1119" s="753"/>
      <c r="N1119" s="753"/>
      <c r="O1119" s="753"/>
      <c r="P1119" s="754"/>
      <c r="Q1119" s="734">
        <f>'[1]4.NERACA'!I84</f>
        <v>284315672</v>
      </c>
      <c r="R1119" s="735"/>
      <c r="S1119" s="735"/>
      <c r="T1119" s="735"/>
      <c r="U1119" s="736"/>
      <c r="V1119" s="23"/>
    </row>
    <row r="1120" spans="1:22" s="16" customFormat="1" ht="18.75" customHeight="1" x14ac:dyDescent="0.2">
      <c r="A1120" s="11"/>
      <c r="B1120" s="749">
        <f t="shared" si="25"/>
        <v>9</v>
      </c>
      <c r="C1120" s="750"/>
      <c r="D1120" s="760" t="str">
        <f>'[1]4.NERACA'!C85</f>
        <v>Meja Dan Kursi Kerja/Rapat Pejabat</v>
      </c>
      <c r="E1120" s="761"/>
      <c r="F1120" s="761"/>
      <c r="G1120" s="761"/>
      <c r="H1120" s="761"/>
      <c r="I1120" s="761"/>
      <c r="J1120" s="753"/>
      <c r="K1120" s="753"/>
      <c r="L1120" s="753"/>
      <c r="M1120" s="753"/>
      <c r="N1120" s="753"/>
      <c r="O1120" s="753"/>
      <c r="P1120" s="754"/>
      <c r="Q1120" s="734">
        <f>'[1]4.NERACA'!I85</f>
        <v>52313750</v>
      </c>
      <c r="R1120" s="735"/>
      <c r="S1120" s="735"/>
      <c r="T1120" s="735"/>
      <c r="U1120" s="736"/>
      <c r="V1120" s="23"/>
    </row>
    <row r="1121" spans="1:30" s="16" customFormat="1" ht="18.75" customHeight="1" x14ac:dyDescent="0.2">
      <c r="A1121" s="11"/>
      <c r="B1121" s="749">
        <f t="shared" si="25"/>
        <v>10</v>
      </c>
      <c r="C1121" s="750"/>
      <c r="D1121" s="751" t="str">
        <f>'[1]4.NERACA'!C86</f>
        <v>Alat Studio</v>
      </c>
      <c r="E1121" s="752"/>
      <c r="F1121" s="752"/>
      <c r="G1121" s="752"/>
      <c r="H1121" s="752"/>
      <c r="I1121" s="752"/>
      <c r="J1121" s="753"/>
      <c r="K1121" s="753"/>
      <c r="L1121" s="753"/>
      <c r="M1121" s="753"/>
      <c r="N1121" s="753"/>
      <c r="O1121" s="753"/>
      <c r="P1121" s="754"/>
      <c r="Q1121" s="734">
        <f>'[1]4.NERACA'!I86</f>
        <v>136037828</v>
      </c>
      <c r="R1121" s="735"/>
      <c r="S1121" s="735"/>
      <c r="T1121" s="735"/>
      <c r="U1121" s="736"/>
      <c r="V1121" s="23"/>
    </row>
    <row r="1122" spans="1:30" s="16" customFormat="1" ht="18.75" customHeight="1" x14ac:dyDescent="0.2">
      <c r="A1122" s="11"/>
      <c r="B1122" s="749">
        <f t="shared" si="25"/>
        <v>11</v>
      </c>
      <c r="C1122" s="750"/>
      <c r="D1122" s="751" t="str">
        <f>'[1]4.NERACA'!C87</f>
        <v>Alat Komunikasi</v>
      </c>
      <c r="E1122" s="752"/>
      <c r="F1122" s="752"/>
      <c r="G1122" s="752"/>
      <c r="H1122" s="752"/>
      <c r="I1122" s="752"/>
      <c r="J1122" s="753"/>
      <c r="K1122" s="753"/>
      <c r="L1122" s="753"/>
      <c r="M1122" s="753"/>
      <c r="N1122" s="753"/>
      <c r="O1122" s="753"/>
      <c r="P1122" s="754"/>
      <c r="Q1122" s="734">
        <f>'[1]4.NERACA'!I87</f>
        <v>6334000</v>
      </c>
      <c r="R1122" s="735"/>
      <c r="S1122" s="735"/>
      <c r="T1122" s="735"/>
      <c r="U1122" s="736"/>
      <c r="V1122" s="23"/>
    </row>
    <row r="1123" spans="1:30" s="16" customFormat="1" ht="18.75" customHeight="1" x14ac:dyDescent="0.2">
      <c r="A1123" s="11"/>
      <c r="B1123" s="749">
        <f t="shared" si="25"/>
        <v>12</v>
      </c>
      <c r="C1123" s="750"/>
      <c r="D1123" s="751" t="str">
        <f>'[1]4.NERACA'!C88</f>
        <v>Peralatan Pemancar</v>
      </c>
      <c r="E1123" s="752"/>
      <c r="F1123" s="752"/>
      <c r="G1123" s="752"/>
      <c r="H1123" s="752"/>
      <c r="I1123" s="752"/>
      <c r="J1123" s="753"/>
      <c r="K1123" s="753"/>
      <c r="L1123" s="753"/>
      <c r="M1123" s="753"/>
      <c r="N1123" s="753"/>
      <c r="O1123" s="753"/>
      <c r="P1123" s="754"/>
      <c r="Q1123" s="734">
        <f>'[1]4.NERACA'!I88</f>
        <v>0</v>
      </c>
      <c r="R1123" s="735"/>
      <c r="S1123" s="735"/>
      <c r="T1123" s="735"/>
      <c r="U1123" s="736"/>
      <c r="V1123" s="23"/>
    </row>
    <row r="1124" spans="1:30" s="16" customFormat="1" ht="18.75" customHeight="1" x14ac:dyDescent="0.2">
      <c r="A1124" s="11"/>
      <c r="B1124" s="749">
        <f t="shared" si="25"/>
        <v>13</v>
      </c>
      <c r="C1124" s="750"/>
      <c r="D1124" s="751" t="str">
        <f>'[1]4.NERACA'!C89</f>
        <v>Alat Kedokteran</v>
      </c>
      <c r="E1124" s="752"/>
      <c r="F1124" s="752"/>
      <c r="G1124" s="752"/>
      <c r="H1124" s="752"/>
      <c r="I1124" s="752"/>
      <c r="J1124" s="753"/>
      <c r="K1124" s="753"/>
      <c r="L1124" s="753"/>
      <c r="M1124" s="753"/>
      <c r="N1124" s="753"/>
      <c r="O1124" s="753"/>
      <c r="P1124" s="754"/>
      <c r="Q1124" s="734">
        <f>'[1]4.NERACA'!I89</f>
        <v>0</v>
      </c>
      <c r="R1124" s="735"/>
      <c r="S1124" s="735"/>
      <c r="T1124" s="735"/>
      <c r="U1124" s="736"/>
      <c r="V1124" s="23"/>
    </row>
    <row r="1125" spans="1:30" s="16" customFormat="1" ht="18.75" customHeight="1" x14ac:dyDescent="0.2">
      <c r="A1125" s="11"/>
      <c r="B1125" s="749">
        <f t="shared" si="25"/>
        <v>14</v>
      </c>
      <c r="C1125" s="750"/>
      <c r="D1125" s="751" t="str">
        <f>'[1]4.NERACA'!C90</f>
        <v>Alat Kesehatan</v>
      </c>
      <c r="E1125" s="752"/>
      <c r="F1125" s="752"/>
      <c r="G1125" s="752"/>
      <c r="H1125" s="752"/>
      <c r="I1125" s="752"/>
      <c r="J1125" s="753"/>
      <c r="K1125" s="753"/>
      <c r="L1125" s="753"/>
      <c r="M1125" s="753"/>
      <c r="N1125" s="753"/>
      <c r="O1125" s="753"/>
      <c r="P1125" s="754"/>
      <c r="Q1125" s="734">
        <f>'[1]4.NERACA'!I90</f>
        <v>0</v>
      </c>
      <c r="R1125" s="735"/>
      <c r="S1125" s="735"/>
      <c r="T1125" s="735"/>
      <c r="U1125" s="736"/>
      <c r="V1125" s="23"/>
    </row>
    <row r="1126" spans="1:30" s="16" customFormat="1" ht="18.75" customHeight="1" x14ac:dyDescent="0.2">
      <c r="A1126" s="11"/>
      <c r="B1126" s="749">
        <f t="shared" si="25"/>
        <v>15</v>
      </c>
      <c r="C1126" s="750"/>
      <c r="D1126" s="751" t="str">
        <f>'[1]4.NERACA'!C91</f>
        <v>Unit-Unit Laboratorium</v>
      </c>
      <c r="E1126" s="752"/>
      <c r="F1126" s="752"/>
      <c r="G1126" s="752"/>
      <c r="H1126" s="752"/>
      <c r="I1126" s="752"/>
      <c r="J1126" s="753"/>
      <c r="K1126" s="753"/>
      <c r="L1126" s="753"/>
      <c r="M1126" s="753"/>
      <c r="N1126" s="753"/>
      <c r="O1126" s="753"/>
      <c r="P1126" s="754"/>
      <c r="Q1126" s="734">
        <f>'[1]4.NERACA'!I91</f>
        <v>0</v>
      </c>
      <c r="R1126" s="735"/>
      <c r="S1126" s="735"/>
      <c r="T1126" s="735"/>
      <c r="U1126" s="736"/>
      <c r="V1126" s="23"/>
    </row>
    <row r="1127" spans="1:30" s="16" customFormat="1" ht="18.75" customHeight="1" x14ac:dyDescent="0.2">
      <c r="A1127" s="11"/>
      <c r="B1127" s="749">
        <f t="shared" si="25"/>
        <v>16</v>
      </c>
      <c r="C1127" s="750"/>
      <c r="D1127" s="751" t="str">
        <f>'[1]4.NERACA'!C92</f>
        <v>Alat Peraga/Praktek Sekolah</v>
      </c>
      <c r="E1127" s="752"/>
      <c r="F1127" s="752"/>
      <c r="G1127" s="752"/>
      <c r="H1127" s="752"/>
      <c r="I1127" s="752"/>
      <c r="J1127" s="753"/>
      <c r="K1127" s="753"/>
      <c r="L1127" s="753"/>
      <c r="M1127" s="753"/>
      <c r="N1127" s="753"/>
      <c r="O1127" s="753"/>
      <c r="P1127" s="754"/>
      <c r="Q1127" s="734">
        <f>'[1]4.NERACA'!I92</f>
        <v>0</v>
      </c>
      <c r="R1127" s="735"/>
      <c r="S1127" s="735"/>
      <c r="T1127" s="735"/>
      <c r="U1127" s="736"/>
      <c r="V1127" s="23"/>
    </row>
    <row r="1128" spans="1:30" s="16" customFormat="1" ht="18.75" customHeight="1" x14ac:dyDescent="0.2">
      <c r="A1128" s="11"/>
      <c r="B1128" s="749">
        <f t="shared" si="25"/>
        <v>17</v>
      </c>
      <c r="C1128" s="750"/>
      <c r="D1128" s="751" t="str">
        <f>'[1]4.NERACA'!C93</f>
        <v>Unit Alat Laboratorium Kimia Nuklir</v>
      </c>
      <c r="E1128" s="752"/>
      <c r="F1128" s="752"/>
      <c r="G1128" s="752"/>
      <c r="H1128" s="752"/>
      <c r="I1128" s="752"/>
      <c r="J1128" s="753"/>
      <c r="K1128" s="753"/>
      <c r="L1128" s="753"/>
      <c r="M1128" s="753"/>
      <c r="N1128" s="753"/>
      <c r="O1128" s="753"/>
      <c r="P1128" s="754"/>
      <c r="Q1128" s="734">
        <f>'[1]4.NERACA'!I93</f>
        <v>0</v>
      </c>
      <c r="R1128" s="735"/>
      <c r="S1128" s="735"/>
      <c r="T1128" s="735"/>
      <c r="U1128" s="736"/>
      <c r="V1128" s="23"/>
    </row>
    <row r="1129" spans="1:30" s="16" customFormat="1" ht="18.75" customHeight="1" x14ac:dyDescent="0.2">
      <c r="A1129" s="11"/>
      <c r="B1129" s="749">
        <f>B1128+1</f>
        <v>18</v>
      </c>
      <c r="C1129" s="750"/>
      <c r="D1129" s="751" t="str">
        <f>'[1]4.NERACA'!C94</f>
        <v>Alat Laboratorium Fisila Nuklir / Elektronila</v>
      </c>
      <c r="E1129" s="752"/>
      <c r="F1129" s="752"/>
      <c r="G1129" s="752"/>
      <c r="H1129" s="752"/>
      <c r="I1129" s="752"/>
      <c r="J1129" s="753"/>
      <c r="K1129" s="753"/>
      <c r="L1129" s="753"/>
      <c r="M1129" s="753"/>
      <c r="N1129" s="753"/>
      <c r="O1129" s="753"/>
      <c r="P1129" s="754"/>
      <c r="Q1129" s="734">
        <f>'[1]4.NERACA'!I94</f>
        <v>0</v>
      </c>
      <c r="R1129" s="735"/>
      <c r="S1129" s="735"/>
      <c r="T1129" s="735"/>
      <c r="U1129" s="736"/>
      <c r="V1129" s="23"/>
    </row>
    <row r="1130" spans="1:30" s="16" customFormat="1" ht="18.75" customHeight="1" x14ac:dyDescent="0.2">
      <c r="A1130" s="11"/>
      <c r="B1130" s="749">
        <f>B1129+1</f>
        <v>19</v>
      </c>
      <c r="C1130" s="750"/>
      <c r="D1130" s="751" t="str">
        <f>'[1]4.NERACA'!C95</f>
        <v>Alat Proteksi Radiasi / Proteksi Lingkungan</v>
      </c>
      <c r="E1130" s="752"/>
      <c r="F1130" s="752"/>
      <c r="G1130" s="752"/>
      <c r="H1130" s="752"/>
      <c r="I1130" s="752"/>
      <c r="J1130" s="753"/>
      <c r="K1130" s="753"/>
      <c r="L1130" s="753"/>
      <c r="M1130" s="753"/>
      <c r="N1130" s="753"/>
      <c r="O1130" s="753"/>
      <c r="P1130" s="754"/>
      <c r="Q1130" s="734">
        <f>'[1]4.NERACA'!I95</f>
        <v>0</v>
      </c>
      <c r="R1130" s="735"/>
      <c r="S1130" s="735"/>
      <c r="T1130" s="735"/>
      <c r="U1130" s="736"/>
      <c r="V1130" s="23"/>
    </row>
    <row r="1131" spans="1:30" s="16" customFormat="1" ht="26.25" customHeight="1" x14ac:dyDescent="0.2">
      <c r="A1131" s="11"/>
      <c r="B1131" s="749">
        <f>B1130+1</f>
        <v>20</v>
      </c>
      <c r="C1131" s="750"/>
      <c r="D1131" s="751" t="str">
        <f>'[1]4.NERACA'!C96</f>
        <v>Radiation Aplication and Non Destructive Testing Laboratory (BATAM)</v>
      </c>
      <c r="E1131" s="752"/>
      <c r="F1131" s="752"/>
      <c r="G1131" s="752"/>
      <c r="H1131" s="752"/>
      <c r="I1131" s="752"/>
      <c r="J1131" s="753"/>
      <c r="K1131" s="753"/>
      <c r="L1131" s="753"/>
      <c r="M1131" s="753"/>
      <c r="N1131" s="753"/>
      <c r="O1131" s="753"/>
      <c r="P1131" s="754"/>
      <c r="Q1131" s="734">
        <f>'[1]4.NERACA'!I96</f>
        <v>0</v>
      </c>
      <c r="R1131" s="735"/>
      <c r="S1131" s="735"/>
      <c r="T1131" s="735"/>
      <c r="U1131" s="736"/>
      <c r="V1131" s="23"/>
    </row>
    <row r="1132" spans="1:30" s="16" customFormat="1" ht="18.75" customHeight="1" x14ac:dyDescent="0.2">
      <c r="A1132" s="11"/>
      <c r="B1132" s="749">
        <f t="shared" si="25"/>
        <v>21</v>
      </c>
      <c r="C1132" s="750"/>
      <c r="D1132" s="751" t="str">
        <f>'[1]4.NERACA'!C97</f>
        <v>Alat Laboratorium Lingkungan Hidup</v>
      </c>
      <c r="E1132" s="752"/>
      <c r="F1132" s="752"/>
      <c r="G1132" s="752"/>
      <c r="H1132" s="752"/>
      <c r="I1132" s="752"/>
      <c r="J1132" s="753"/>
      <c r="K1132" s="753"/>
      <c r="L1132" s="753"/>
      <c r="M1132" s="753"/>
      <c r="N1132" s="753"/>
      <c r="O1132" s="753"/>
      <c r="P1132" s="754"/>
      <c r="Q1132" s="734">
        <f>'[1]4.NERACA'!I97</f>
        <v>0</v>
      </c>
      <c r="R1132" s="735"/>
      <c r="S1132" s="735"/>
      <c r="T1132" s="735"/>
      <c r="U1132" s="736"/>
      <c r="V1132" s="23"/>
    </row>
    <row r="1133" spans="1:30" s="16" customFormat="1" ht="18.75" customHeight="1" x14ac:dyDescent="0.2">
      <c r="A1133" s="11"/>
      <c r="B1133" s="749">
        <f t="shared" si="25"/>
        <v>22</v>
      </c>
      <c r="C1133" s="750"/>
      <c r="D1133" s="751" t="str">
        <f>'[1]4.NERACA'!C98</f>
        <v>Alat Keamanan dan Perlindungan</v>
      </c>
      <c r="E1133" s="752"/>
      <c r="F1133" s="752"/>
      <c r="G1133" s="752"/>
      <c r="H1133" s="752"/>
      <c r="I1133" s="752"/>
      <c r="J1133" s="753"/>
      <c r="K1133" s="753"/>
      <c r="L1133" s="753"/>
      <c r="M1133" s="753"/>
      <c r="N1133" s="753"/>
      <c r="O1133" s="753"/>
      <c r="P1133" s="754"/>
      <c r="Q1133" s="734">
        <f>'[1]4.NERACA'!I98</f>
        <v>30267629</v>
      </c>
      <c r="R1133" s="735"/>
      <c r="S1133" s="735"/>
      <c r="T1133" s="735"/>
      <c r="U1133" s="736"/>
      <c r="V1133" s="755"/>
      <c r="W1133" s="756"/>
      <c r="X1133" s="756"/>
      <c r="Y1133" s="756"/>
      <c r="Z1133" s="756"/>
      <c r="AA1133" s="756"/>
      <c r="AB1133" s="756"/>
      <c r="AC1133" s="756"/>
      <c r="AD1133" s="756"/>
    </row>
    <row r="1134" spans="1:30" s="16" customFormat="1" ht="15" customHeight="1" x14ac:dyDescent="0.2">
      <c r="A1134" s="11"/>
      <c r="B1134" s="634" t="s">
        <v>205</v>
      </c>
      <c r="C1134" s="635"/>
      <c r="D1134" s="635"/>
      <c r="E1134" s="635"/>
      <c r="F1134" s="635"/>
      <c r="G1134" s="635"/>
      <c r="H1134" s="635"/>
      <c r="I1134" s="635"/>
      <c r="J1134" s="635"/>
      <c r="K1134" s="635"/>
      <c r="L1134" s="635"/>
      <c r="M1134" s="635"/>
      <c r="N1134" s="635"/>
      <c r="O1134" s="635"/>
      <c r="P1134" s="636"/>
      <c r="Q1134" s="757">
        <f>SUM(Q1112:U1133)</f>
        <v>1865112315.0004001</v>
      </c>
      <c r="R1134" s="758"/>
      <c r="S1134" s="758"/>
      <c r="T1134" s="758"/>
      <c r="U1134" s="759"/>
      <c r="V1134" s="23"/>
    </row>
    <row r="1135" spans="1:30" s="16" customFormat="1" ht="15" customHeight="1" x14ac:dyDescent="0.2">
      <c r="A1135" s="11"/>
      <c r="B1135" s="63"/>
      <c r="C1135" s="63"/>
      <c r="D1135" s="63"/>
      <c r="E1135" s="63"/>
      <c r="F1135" s="63"/>
      <c r="G1135" s="63"/>
      <c r="H1135" s="63"/>
      <c r="I1135" s="63"/>
      <c r="J1135" s="63"/>
      <c r="K1135" s="63"/>
      <c r="L1135" s="63"/>
      <c r="M1135" s="63"/>
      <c r="N1135" s="63"/>
      <c r="O1135" s="63"/>
      <c r="P1135" s="63"/>
      <c r="Q1135" s="125"/>
      <c r="R1135" s="125"/>
      <c r="S1135" s="125"/>
      <c r="T1135" s="125"/>
      <c r="U1135" s="125"/>
      <c r="V1135" s="23"/>
    </row>
    <row r="1136" spans="1:30" s="16" customFormat="1" ht="15" customHeight="1" x14ac:dyDescent="0.2">
      <c r="A1136" s="429"/>
      <c r="B1136" s="216" t="s">
        <v>170</v>
      </c>
      <c r="C1136" s="629" t="s">
        <v>13</v>
      </c>
      <c r="D1136" s="629"/>
      <c r="E1136" s="629"/>
      <c r="F1136" s="629"/>
      <c r="G1136" s="629"/>
      <c r="H1136" s="629"/>
      <c r="I1136" s="629"/>
      <c r="J1136" s="629"/>
      <c r="K1136" s="629"/>
      <c r="L1136" s="629"/>
      <c r="M1136" s="629"/>
      <c r="N1136" s="629"/>
      <c r="O1136" s="629"/>
      <c r="P1136" s="629"/>
      <c r="Q1136" s="629"/>
      <c r="R1136" s="629"/>
      <c r="S1136" s="629"/>
      <c r="T1136" s="629"/>
      <c r="U1136" s="629"/>
      <c r="V1136" s="23"/>
    </row>
    <row r="1137" spans="1:32" s="16" customFormat="1" ht="84.75" customHeight="1" x14ac:dyDescent="0.2">
      <c r="A1137" s="429"/>
      <c r="C1137" s="407" t="str">
        <f>"Nilai Gedung dan Bangunan per "&amp;'[1]2.ISIAN DATA SKPD'!D8&amp;" dan "&amp;'[1]2.ISIAN DATA SKPD'!D12&amp;" adalah Rp. "&amp;FIXED(R1141)&amp;" dan Rp. "&amp;FIXED(B1141)&amp;" mengalami kenaikan sebesar Rp. "&amp;FIXED(AC1141)&amp;" atau sebesar "&amp;FIXED(Y1141)&amp;"% dari tahun "&amp;'[1]2.ISIAN DATA SKPD'!D12&amp;".  Mutasi transaksi terhadap Gedung dan Bangunan pada tanggal pelaporan adalah sebagai berikut:"</f>
        <v>Nilai Gedung dan Bangunan per 31 Desember 2018 dan 2017 adalah Rp. 25.964.686.153,00 dan Rp. 14.120.832.896,00 mengalami kenaikan sebesar Rp. 11.843.853.257,00 atau sebesar 83,88% dari tahun 2017.  Mutasi transaksi terhadap Gedung dan Bangunan pada tanggal pelaporan adalah sebagai berikut:</v>
      </c>
      <c r="D1137" s="407"/>
      <c r="E1137" s="407"/>
      <c r="F1137" s="407"/>
      <c r="G1137" s="407"/>
      <c r="H1137" s="407"/>
      <c r="I1137" s="407"/>
      <c r="J1137" s="407"/>
      <c r="K1137" s="407"/>
      <c r="L1137" s="407"/>
      <c r="M1137" s="407"/>
      <c r="N1137" s="407"/>
      <c r="O1137" s="407"/>
      <c r="P1137" s="407"/>
      <c r="Q1137" s="407"/>
      <c r="R1137" s="407"/>
      <c r="S1137" s="407"/>
      <c r="T1137" s="407"/>
      <c r="U1137" s="407"/>
      <c r="V1137" s="23"/>
    </row>
    <row r="1138" spans="1:32" s="16" customFormat="1" ht="23.25" customHeight="1" x14ac:dyDescent="0.2">
      <c r="A1138" s="21"/>
      <c r="C1138" s="77"/>
      <c r="D1138" s="77"/>
      <c r="E1138" s="77"/>
      <c r="F1138" s="77"/>
      <c r="G1138" s="77"/>
      <c r="H1138" s="77"/>
      <c r="I1138" s="77"/>
      <c r="J1138" s="77"/>
      <c r="K1138" s="77"/>
      <c r="L1138" s="77"/>
      <c r="M1138" s="77"/>
      <c r="N1138" s="77"/>
      <c r="O1138" s="77"/>
      <c r="P1138" s="77"/>
      <c r="Q1138" s="77"/>
      <c r="R1138" s="77"/>
      <c r="S1138" s="77"/>
      <c r="T1138" s="77"/>
      <c r="U1138" s="77"/>
      <c r="V1138" s="23"/>
    </row>
    <row r="1139" spans="1:32" s="16" customFormat="1" ht="25.5" customHeight="1" x14ac:dyDescent="0.2">
      <c r="A1139" s="567" t="s">
        <v>125</v>
      </c>
      <c r="B1139" s="562" t="s">
        <v>443</v>
      </c>
      <c r="C1139" s="562"/>
      <c r="D1139" s="562"/>
      <c r="E1139" s="562"/>
      <c r="F1139" s="572" t="s">
        <v>444</v>
      </c>
      <c r="G1139" s="572"/>
      <c r="H1139" s="572"/>
      <c r="I1139" s="572"/>
      <c r="J1139" s="572"/>
      <c r="K1139" s="572"/>
      <c r="L1139" s="572" t="s">
        <v>445</v>
      </c>
      <c r="M1139" s="572"/>
      <c r="N1139" s="572"/>
      <c r="O1139" s="572"/>
      <c r="P1139" s="572"/>
      <c r="Q1139" s="572"/>
      <c r="R1139" s="562" t="s">
        <v>446</v>
      </c>
      <c r="S1139" s="562"/>
      <c r="T1139" s="562"/>
      <c r="U1139" s="562"/>
      <c r="V1139" s="23"/>
    </row>
    <row r="1140" spans="1:32" s="16" customFormat="1" ht="25.5" customHeight="1" x14ac:dyDescent="0.2">
      <c r="A1140" s="568"/>
      <c r="B1140" s="746">
        <f>B1088</f>
        <v>2017</v>
      </c>
      <c r="C1140" s="747"/>
      <c r="D1140" s="747"/>
      <c r="E1140" s="748"/>
      <c r="F1140" s="562" t="s">
        <v>447</v>
      </c>
      <c r="G1140" s="562"/>
      <c r="H1140" s="562"/>
      <c r="I1140" s="573" t="s">
        <v>448</v>
      </c>
      <c r="J1140" s="573"/>
      <c r="K1140" s="573"/>
      <c r="L1140" s="562" t="s">
        <v>447</v>
      </c>
      <c r="M1140" s="562"/>
      <c r="N1140" s="562"/>
      <c r="O1140" s="563" t="s">
        <v>448</v>
      </c>
      <c r="P1140" s="563"/>
      <c r="Q1140" s="563"/>
      <c r="R1140" s="713">
        <f>R1088</f>
        <v>2018</v>
      </c>
      <c r="S1140" s="714"/>
      <c r="T1140" s="714"/>
      <c r="U1140" s="715"/>
      <c r="V1140" s="487"/>
      <c r="W1140" s="480"/>
      <c r="X1140" s="480"/>
      <c r="Y1140" s="471" t="s">
        <v>449</v>
      </c>
      <c r="Z1140" s="480"/>
      <c r="AA1140" s="480"/>
      <c r="AB1140" s="480"/>
      <c r="AC1140" s="488" t="s">
        <v>438</v>
      </c>
      <c r="AD1140" s="489"/>
      <c r="AE1140" s="489"/>
      <c r="AF1140" s="489"/>
    </row>
    <row r="1141" spans="1:32" s="16" customFormat="1" ht="28.5" customHeight="1" x14ac:dyDescent="0.2">
      <c r="A1141" s="200" t="str">
        <f>C1136</f>
        <v>Gedung dan Bangunan</v>
      </c>
      <c r="B1141" s="689">
        <f>'[1]4.NERACA'!D99</f>
        <v>14120832896</v>
      </c>
      <c r="C1141" s="689"/>
      <c r="D1141" s="689"/>
      <c r="E1141" s="689"/>
      <c r="F1141" s="689">
        <f>'[1]4.NERACA'!E99</f>
        <v>742694100</v>
      </c>
      <c r="G1141" s="689"/>
      <c r="H1141" s="689"/>
      <c r="I1141" s="690">
        <f>'[1]4.NERACA'!F99</f>
        <v>959802871</v>
      </c>
      <c r="J1141" s="690"/>
      <c r="K1141" s="690"/>
      <c r="L1141" s="733">
        <f>'[1]4.NERACA'!G99</f>
        <v>12367266028</v>
      </c>
      <c r="M1141" s="733"/>
      <c r="N1141" s="733"/>
      <c r="O1141" s="689">
        <f>'[1]4.NERACA'!H99</f>
        <v>306304000</v>
      </c>
      <c r="P1141" s="689"/>
      <c r="Q1141" s="689"/>
      <c r="R1141" s="689">
        <f>B1141+F1141-I1141+L1141-O1141</f>
        <v>25964686153</v>
      </c>
      <c r="S1141" s="689"/>
      <c r="T1141" s="689"/>
      <c r="U1141" s="689"/>
      <c r="V1141" s="479"/>
      <c r="W1141" s="480"/>
      <c r="X1141" s="480"/>
      <c r="Y1141" s="471">
        <f>(R1141-B1141)/B1141*100</f>
        <v>83.875033039694145</v>
      </c>
      <c r="Z1141" s="480"/>
      <c r="AA1141" s="480"/>
      <c r="AB1141" s="480"/>
      <c r="AC1141" s="471">
        <f>R1141-B1141</f>
        <v>11843853257</v>
      </c>
      <c r="AD1141" s="472"/>
      <c r="AE1141" s="472"/>
      <c r="AF1141" s="472"/>
    </row>
    <row r="1142" spans="1:32" s="16" customFormat="1" ht="15" customHeight="1" x14ac:dyDescent="0.2">
      <c r="A1142" s="11"/>
      <c r="B1142" s="648" t="s">
        <v>450</v>
      </c>
      <c r="C1142" s="648"/>
      <c r="D1142" s="648"/>
      <c r="E1142" s="648"/>
      <c r="F1142" s="648"/>
      <c r="G1142" s="648"/>
      <c r="H1142" s="648"/>
      <c r="I1142" s="648"/>
      <c r="J1142" s="648"/>
      <c r="K1142" s="648"/>
      <c r="L1142" s="648"/>
      <c r="M1142" s="648"/>
      <c r="N1142" s="663"/>
      <c r="O1142" s="663"/>
      <c r="P1142" s="663"/>
      <c r="Q1142" s="663"/>
      <c r="R1142" s="663"/>
      <c r="S1142" s="663"/>
      <c r="T1142" s="663"/>
      <c r="U1142" s="663"/>
      <c r="V1142" s="23"/>
    </row>
    <row r="1143" spans="1:32" s="16" customFormat="1" ht="15" customHeight="1" x14ac:dyDescent="0.2">
      <c r="A1143" s="11"/>
      <c r="B1143" s="202" t="s">
        <v>160</v>
      </c>
      <c r="C1143" s="402" t="str">
        <f>'[1]4.NERACA'!C100</f>
        <v>Bangunan Gedung Tempat Kerja</v>
      </c>
      <c r="D1143" s="402"/>
      <c r="E1143" s="402"/>
      <c r="F1143" s="402"/>
      <c r="G1143" s="402"/>
      <c r="H1143" s="402"/>
      <c r="I1143" s="402"/>
      <c r="J1143" s="402"/>
      <c r="K1143" s="402"/>
      <c r="L1143" s="402"/>
      <c r="M1143" s="402"/>
      <c r="N1143" s="402"/>
      <c r="O1143" s="402"/>
      <c r="P1143" s="402"/>
      <c r="Q1143" s="402"/>
      <c r="R1143" s="402"/>
      <c r="S1143" s="402"/>
      <c r="T1143" s="402"/>
      <c r="U1143" s="402"/>
      <c r="V1143" s="23"/>
    </row>
    <row r="1144" spans="1:32" s="16" customFormat="1" ht="63.75" customHeight="1" x14ac:dyDescent="0.2">
      <c r="A1144" s="11"/>
      <c r="C1144" s="407" t="str">
        <f>"Nilai aset tetap berupa Bangunan Gedung Tempat Kerja  per "&amp;'[1]2.ISIAN DATA SKPD'!D8&amp;" dan  "&amp;'[1]2.ISIAN DATA SKPD'!D12&amp;" adalah sebesar Rp. "&amp;FIXED(R1148)&amp;" dan Rp. "&amp;FIXED(B1148)&amp;" mengalami kenaikan sebesar Rp. "&amp;FIXED(AC1148)&amp;" atau sebesar "&amp;FIXED(Y1148)&amp;"% dari tahun "&amp;'[1]2.ISIAN DATA SKPD'!D12&amp;"."</f>
        <v>Nilai aset tetap berupa Bangunan Gedung Tempat Kerja  per 31 Desember 2018 dan  2017 adalah sebesar Rp. 25.700.304.307,00 dan Rp. 13.856.451.050,00 mengalami kenaikan sebesar Rp. 11.843.853.257,00 atau sebesar 85,48% dari tahun 2017.</v>
      </c>
      <c r="D1144" s="407"/>
      <c r="E1144" s="407"/>
      <c r="F1144" s="407"/>
      <c r="G1144" s="407"/>
      <c r="H1144" s="407"/>
      <c r="I1144" s="407"/>
      <c r="J1144" s="407"/>
      <c r="K1144" s="407"/>
      <c r="L1144" s="407"/>
      <c r="M1144" s="407"/>
      <c r="N1144" s="407"/>
      <c r="O1144" s="407"/>
      <c r="P1144" s="407"/>
      <c r="Q1144" s="407"/>
      <c r="R1144" s="407"/>
      <c r="S1144" s="407"/>
      <c r="T1144" s="407"/>
      <c r="U1144" s="407"/>
      <c r="V1144" s="23"/>
    </row>
    <row r="1145" spans="1:32" s="16" customFormat="1" ht="24.75" customHeight="1" x14ac:dyDescent="0.2">
      <c r="A1145" s="11"/>
      <c r="C1145" s="407" t="str">
        <f>"Dengan mutasi  selama tahun "&amp;'[1]2.ISIAN DATA SKPD'!D11&amp;" sebagai berikut :"</f>
        <v>Dengan mutasi  selama tahun 2018 sebagai berikut :</v>
      </c>
      <c r="D1145" s="407"/>
      <c r="E1145" s="407"/>
      <c r="F1145" s="407"/>
      <c r="G1145" s="407"/>
      <c r="H1145" s="407"/>
      <c r="I1145" s="407"/>
      <c r="J1145" s="407"/>
      <c r="K1145" s="407"/>
      <c r="L1145" s="407"/>
      <c r="M1145" s="407"/>
      <c r="N1145" s="407"/>
      <c r="O1145" s="407"/>
      <c r="P1145" s="407"/>
      <c r="Q1145" s="407"/>
      <c r="R1145" s="407"/>
      <c r="S1145" s="407"/>
      <c r="T1145" s="407"/>
      <c r="U1145" s="407"/>
      <c r="V1145" s="23"/>
    </row>
    <row r="1146" spans="1:32" s="16" customFormat="1" ht="17.25" customHeight="1" x14ac:dyDescent="0.2">
      <c r="A1146" s="567" t="s">
        <v>125</v>
      </c>
      <c r="B1146" s="600" t="s">
        <v>443</v>
      </c>
      <c r="C1146" s="600"/>
      <c r="D1146" s="600"/>
      <c r="E1146" s="600"/>
      <c r="F1146" s="605" t="s">
        <v>444</v>
      </c>
      <c r="G1146" s="605"/>
      <c r="H1146" s="605"/>
      <c r="I1146" s="605"/>
      <c r="J1146" s="605"/>
      <c r="K1146" s="605"/>
      <c r="L1146" s="605" t="s">
        <v>445</v>
      </c>
      <c r="M1146" s="605"/>
      <c r="N1146" s="605"/>
      <c r="O1146" s="605"/>
      <c r="P1146" s="605"/>
      <c r="Q1146" s="605"/>
      <c r="R1146" s="600" t="s">
        <v>446</v>
      </c>
      <c r="S1146" s="600"/>
      <c r="T1146" s="600"/>
      <c r="U1146" s="600"/>
      <c r="V1146" s="23"/>
    </row>
    <row r="1147" spans="1:32" s="16" customFormat="1" ht="15" customHeight="1" x14ac:dyDescent="0.2">
      <c r="A1147" s="568"/>
      <c r="B1147" s="616">
        <f>B1140</f>
        <v>2017</v>
      </c>
      <c r="C1147" s="603"/>
      <c r="D1147" s="603"/>
      <c r="E1147" s="604"/>
      <c r="F1147" s="600" t="s">
        <v>447</v>
      </c>
      <c r="G1147" s="600"/>
      <c r="H1147" s="600"/>
      <c r="I1147" s="599" t="s">
        <v>448</v>
      </c>
      <c r="J1147" s="599"/>
      <c r="K1147" s="599"/>
      <c r="L1147" s="600" t="s">
        <v>447</v>
      </c>
      <c r="M1147" s="600"/>
      <c r="N1147" s="600"/>
      <c r="O1147" s="601" t="s">
        <v>448</v>
      </c>
      <c r="P1147" s="601"/>
      <c r="Q1147" s="601"/>
      <c r="R1147" s="713">
        <f>R1140</f>
        <v>2018</v>
      </c>
      <c r="S1147" s="714"/>
      <c r="T1147" s="714"/>
      <c r="U1147" s="715"/>
      <c r="V1147" s="487"/>
      <c r="W1147" s="480"/>
      <c r="X1147" s="480"/>
      <c r="Y1147" s="471" t="s">
        <v>449</v>
      </c>
      <c r="Z1147" s="480"/>
      <c r="AA1147" s="480"/>
      <c r="AB1147" s="480"/>
      <c r="AC1147" s="488" t="s">
        <v>438</v>
      </c>
      <c r="AD1147" s="489"/>
      <c r="AE1147" s="489"/>
      <c r="AF1147" s="489"/>
    </row>
    <row r="1148" spans="1:32" s="16" customFormat="1" ht="48.75" customHeight="1" x14ac:dyDescent="0.2">
      <c r="A1148" s="217" t="str">
        <f>C1143</f>
        <v>Bangunan Gedung Tempat Kerja</v>
      </c>
      <c r="B1148" s="650">
        <f>'[1]4.NERACA'!D100</f>
        <v>13856451050</v>
      </c>
      <c r="C1148" s="651"/>
      <c r="D1148" s="651"/>
      <c r="E1148" s="652"/>
      <c r="F1148" s="650">
        <f>'[1]4.NERACA'!E100</f>
        <v>742694100</v>
      </c>
      <c r="G1148" s="651"/>
      <c r="H1148" s="652"/>
      <c r="I1148" s="666">
        <f>'[1]4.NERACA'!F100</f>
        <v>959802871</v>
      </c>
      <c r="J1148" s="667"/>
      <c r="K1148" s="668"/>
      <c r="L1148" s="716">
        <f>'[1]4.NERACA'!G100</f>
        <v>12367266028</v>
      </c>
      <c r="M1148" s="717"/>
      <c r="N1148" s="718"/>
      <c r="O1148" s="650">
        <f>'[1]4.NERACA'!H100</f>
        <v>306304000</v>
      </c>
      <c r="P1148" s="651"/>
      <c r="Q1148" s="652"/>
      <c r="R1148" s="650">
        <f>B1148+F1148-I1148+L1148-O1148</f>
        <v>25700304307</v>
      </c>
      <c r="S1148" s="651"/>
      <c r="T1148" s="651"/>
      <c r="U1148" s="652"/>
      <c r="V1148" s="479"/>
      <c r="W1148" s="480"/>
      <c r="X1148" s="480"/>
      <c r="Y1148" s="471">
        <f>(R1148-B1148)/B1148*100</f>
        <v>85.475373270271831</v>
      </c>
      <c r="Z1148" s="480"/>
      <c r="AA1148" s="480"/>
      <c r="AB1148" s="480"/>
      <c r="AC1148" s="471">
        <f>R1148-B1148</f>
        <v>11843853257</v>
      </c>
      <c r="AD1148" s="472"/>
      <c r="AE1148" s="472"/>
      <c r="AF1148" s="472"/>
    </row>
    <row r="1149" spans="1:32" s="16" customFormat="1" ht="15" customHeight="1" x14ac:dyDescent="0.2">
      <c r="A1149" s="11"/>
      <c r="B1149" s="408" t="s">
        <v>461</v>
      </c>
      <c r="C1149" s="408"/>
      <c r="D1149" s="408"/>
      <c r="E1149" s="408"/>
      <c r="F1149" s="408"/>
      <c r="G1149" s="408"/>
      <c r="H1149" s="408"/>
      <c r="I1149" s="408"/>
      <c r="J1149" s="408"/>
      <c r="K1149" s="408"/>
      <c r="L1149" s="408"/>
      <c r="M1149" s="408"/>
      <c r="N1149" s="408"/>
      <c r="O1149" s="408"/>
      <c r="P1149" s="408"/>
      <c r="Q1149" s="408"/>
      <c r="R1149" s="408"/>
      <c r="S1149" s="408"/>
      <c r="T1149" s="408"/>
      <c r="U1149" s="408"/>
      <c r="V1149" s="23"/>
    </row>
    <row r="1150" spans="1:32" s="16" customFormat="1" ht="15" customHeight="1" x14ac:dyDescent="0.2">
      <c r="A1150" s="11"/>
      <c r="B1150" s="125"/>
      <c r="C1150" s="408" t="s">
        <v>462</v>
      </c>
      <c r="D1150" s="408"/>
      <c r="E1150" s="408"/>
      <c r="F1150" s="408"/>
      <c r="G1150" s="408"/>
      <c r="H1150" s="408"/>
      <c r="I1150" s="408"/>
      <c r="J1150" s="408"/>
      <c r="K1150" s="408"/>
      <c r="L1150" s="408"/>
      <c r="M1150" s="408"/>
      <c r="N1150" s="408"/>
      <c r="O1150" s="408"/>
      <c r="P1150" s="408"/>
      <c r="Q1150" s="408"/>
      <c r="R1150" s="408"/>
      <c r="S1150" s="408"/>
      <c r="T1150" s="408"/>
      <c r="U1150" s="408"/>
      <c r="V1150" s="23"/>
    </row>
    <row r="1151" spans="1:32" s="16" customFormat="1" ht="77.25" customHeight="1" x14ac:dyDescent="0.2">
      <c r="A1151" s="11"/>
      <c r="B1151" s="125"/>
      <c r="C1151" s="408" t="str">
        <f>"Mutasi Debet sebesar Rp. "&amp;FIXED(F1148+L1148)&amp;" adalah hasil pengadaan barang tahun "&amp;'[1]2.ISIAN DATA SKPD'!D11&amp;" dari belanja modal dan bangunan berupa Pengadaan Bangunan Gedung Tempat Pertemuan dan Pengadaan Bangunan Gedung Tempat Kerja Lainnya serta mutasi dari Dinas Perhubungan"</f>
        <v>Mutasi Debet sebesar Rp. 13.109.960.128,00 adalah hasil pengadaan barang tahun 2018 dari belanja modal dan bangunan berupa Pengadaan Bangunan Gedung Tempat Pertemuan dan Pengadaan Bangunan Gedung Tempat Kerja Lainnya serta mutasi dari Dinas Perhubungan</v>
      </c>
      <c r="D1151" s="408"/>
      <c r="E1151" s="408"/>
      <c r="F1151" s="408"/>
      <c r="G1151" s="408"/>
      <c r="H1151" s="408"/>
      <c r="I1151" s="408"/>
      <c r="J1151" s="408"/>
      <c r="K1151" s="408"/>
      <c r="L1151" s="408"/>
      <c r="M1151" s="408"/>
      <c r="N1151" s="408"/>
      <c r="O1151" s="408"/>
      <c r="P1151" s="408"/>
      <c r="Q1151" s="408"/>
      <c r="R1151" s="408"/>
      <c r="S1151" s="408"/>
      <c r="T1151" s="408"/>
      <c r="U1151" s="408"/>
      <c r="V1151" s="23"/>
    </row>
    <row r="1152" spans="1:32" s="16" customFormat="1" ht="15" customHeight="1" x14ac:dyDescent="0.2">
      <c r="A1152" s="11"/>
      <c r="B1152" s="125"/>
      <c r="C1152" s="408" t="s">
        <v>463</v>
      </c>
      <c r="D1152" s="408"/>
      <c r="E1152" s="408"/>
      <c r="F1152" s="408"/>
      <c r="G1152" s="408"/>
      <c r="H1152" s="408"/>
      <c r="I1152" s="408"/>
      <c r="J1152" s="408"/>
      <c r="K1152" s="408"/>
      <c r="L1152" s="408"/>
      <c r="M1152" s="408"/>
      <c r="N1152" s="408"/>
      <c r="O1152" s="408"/>
      <c r="P1152" s="408"/>
      <c r="Q1152" s="408"/>
      <c r="R1152" s="408"/>
      <c r="S1152" s="408"/>
      <c r="T1152" s="408"/>
      <c r="U1152" s="408"/>
      <c r="V1152" s="23"/>
    </row>
    <row r="1153" spans="1:40" s="16" customFormat="1" ht="83.25" customHeight="1" x14ac:dyDescent="0.2">
      <c r="A1153" s="11"/>
      <c r="B1153" s="203"/>
      <c r="C1153" s="408" t="str">
        <f>"Mutasi Kredit Rp. "&amp;FIXED(I1148+O1148)&amp;" adalah reklas Pengadaan Bangunan Gedung Tempat Kerja Lainnya ke alat studio (camera canon, Komputer (laptop), komputer (printer Brather) komputer (printer epson)dan reklas pengadaan bangunan gedung tempat kerja lainnya ke instalasi air minum bersih "</f>
        <v xml:space="preserve">Mutasi Kredit Rp. 1.266.106.871,00 adalah reklas Pengadaan Bangunan Gedung Tempat Kerja Lainnya ke alat studio (camera canon, Komputer (laptop), komputer (printer Brather) komputer (printer epson)dan reklas pengadaan bangunan gedung tempat kerja lainnya ke instalasi air minum bersih </v>
      </c>
      <c r="D1153" s="408"/>
      <c r="E1153" s="408"/>
      <c r="F1153" s="408"/>
      <c r="G1153" s="408"/>
      <c r="H1153" s="408"/>
      <c r="I1153" s="408"/>
      <c r="J1153" s="408"/>
      <c r="K1153" s="408"/>
      <c r="L1153" s="408"/>
      <c r="M1153" s="408"/>
      <c r="N1153" s="408"/>
      <c r="O1153" s="408"/>
      <c r="P1153" s="408"/>
      <c r="Q1153" s="408"/>
      <c r="R1153" s="408"/>
      <c r="S1153" s="408"/>
      <c r="T1153" s="408"/>
      <c r="U1153" s="408"/>
      <c r="V1153" s="23"/>
    </row>
    <row r="1154" spans="1:40" s="16" customFormat="1" ht="48.75" customHeight="1" x14ac:dyDescent="0.2">
      <c r="A1154" s="11"/>
      <c r="B1154" s="203"/>
      <c r="C1154" s="37"/>
      <c r="D1154" s="37"/>
      <c r="E1154" s="37"/>
      <c r="F1154" s="37"/>
      <c r="G1154" s="37"/>
      <c r="H1154" s="37"/>
      <c r="I1154" s="37"/>
      <c r="J1154" s="37"/>
      <c r="K1154" s="37"/>
      <c r="L1154" s="37"/>
      <c r="M1154" s="37"/>
      <c r="N1154" s="37"/>
      <c r="O1154" s="37"/>
      <c r="P1154" s="37"/>
      <c r="Q1154" s="37"/>
      <c r="R1154" s="37"/>
      <c r="S1154" s="37"/>
      <c r="T1154" s="37"/>
      <c r="U1154" s="37"/>
      <c r="V1154" s="23"/>
    </row>
    <row r="1155" spans="1:40" s="16" customFormat="1" ht="13.5" customHeight="1" x14ac:dyDescent="0.2">
      <c r="A1155" s="11"/>
      <c r="B1155" s="532"/>
      <c r="C1155" s="532"/>
      <c r="D1155" s="532"/>
      <c r="E1155" s="532"/>
      <c r="F1155" s="532"/>
      <c r="G1155" s="532"/>
      <c r="H1155" s="532"/>
      <c r="I1155" s="532"/>
      <c r="J1155" s="532"/>
      <c r="K1155" s="532"/>
      <c r="L1155" s="532"/>
      <c r="M1155" s="532"/>
      <c r="N1155" s="728"/>
      <c r="O1155" s="728"/>
      <c r="P1155" s="728"/>
      <c r="Q1155" s="728"/>
      <c r="R1155" s="728"/>
      <c r="S1155" s="728"/>
      <c r="T1155" s="728"/>
      <c r="U1155" s="728"/>
      <c r="V1155" s="23"/>
    </row>
    <row r="1156" spans="1:40" s="16" customFormat="1" ht="23.25" customHeight="1" x14ac:dyDescent="0.2">
      <c r="A1156" s="11"/>
      <c r="B1156" s="202" t="s">
        <v>153</v>
      </c>
      <c r="C1156" s="402" t="str">
        <f>'[1]4.NERACA'!C101</f>
        <v>Bangunan Gedung Tempat Tinggal</v>
      </c>
      <c r="D1156" s="402"/>
      <c r="E1156" s="402"/>
      <c r="F1156" s="402"/>
      <c r="G1156" s="402"/>
      <c r="H1156" s="402"/>
      <c r="I1156" s="402"/>
      <c r="J1156" s="402"/>
      <c r="K1156" s="402"/>
      <c r="L1156" s="402"/>
      <c r="M1156" s="402"/>
      <c r="N1156" s="402"/>
      <c r="O1156" s="402"/>
      <c r="P1156" s="402"/>
      <c r="Q1156" s="402"/>
      <c r="R1156" s="402"/>
      <c r="S1156" s="402"/>
      <c r="T1156" s="402"/>
      <c r="U1156" s="402"/>
      <c r="V1156" s="23"/>
    </row>
    <row r="1157" spans="1:40" s="16" customFormat="1" ht="65.25" customHeight="1" x14ac:dyDescent="0.2">
      <c r="A1157" s="11"/>
      <c r="C1157" s="407" t="str">
        <f>"Nilai aset tetap berupa "&amp;C1156&amp;"  per "&amp;'[1]2.ISIAN DATA SKPD'!D8&amp;" dan  "&amp;'[1]2.ISIAN DATA SKPD'!D12&amp;" adalah sebesar Rp. "&amp;FIXED(R1162)&amp;" dan Rp. "&amp;FIXED(B1162)&amp;" tidak mengalami kenaikan/penurunan sebesar Rp. "&amp;FIXED(AC1162)&amp;" atau sebesar "&amp;FIXED(Y1162)&amp;"% dari tahun "&amp;'[1]2.ISIAN DATA SKPD'!D12&amp;"."</f>
        <v>Nilai aset tetap berupa Bangunan Gedung Tempat Tinggal  per 31 Desember 2018 dan  2017 adalah sebesar Rp. 149.731.470,00 dan Rp. 149.731.470,00 tidak mengalami kenaikan/penurunan sebesar Rp. 0,00 atau sebesar 0,00% dari tahun 2017.</v>
      </c>
      <c r="D1157" s="407"/>
      <c r="E1157" s="407"/>
      <c r="F1157" s="407"/>
      <c r="G1157" s="407"/>
      <c r="H1157" s="407"/>
      <c r="I1157" s="407"/>
      <c r="J1157" s="407"/>
      <c r="K1157" s="407"/>
      <c r="L1157" s="407"/>
      <c r="M1157" s="407"/>
      <c r="N1157" s="407"/>
      <c r="O1157" s="407"/>
      <c r="P1157" s="407"/>
      <c r="Q1157" s="407"/>
      <c r="R1157" s="407"/>
      <c r="S1157" s="407"/>
      <c r="T1157" s="407"/>
      <c r="U1157" s="407"/>
      <c r="V1157" s="23"/>
    </row>
    <row r="1158" spans="1:40" s="16" customFormat="1" ht="21" customHeight="1" x14ac:dyDescent="0.2">
      <c r="A1158" s="11"/>
      <c r="B1158" s="77"/>
      <c r="C1158" s="407" t="str">
        <f>"Dengan mutasi  selama tahun "&amp;'[1]2.ISIAN DATA SKPD'!D11&amp;" sebagai berikut :"</f>
        <v>Dengan mutasi  selama tahun 2018 sebagai berikut :</v>
      </c>
      <c r="D1158" s="407"/>
      <c r="E1158" s="407"/>
      <c r="F1158" s="407"/>
      <c r="G1158" s="407"/>
      <c r="H1158" s="407"/>
      <c r="I1158" s="407"/>
      <c r="J1158" s="407"/>
      <c r="K1158" s="407"/>
      <c r="L1158" s="407"/>
      <c r="M1158" s="407"/>
      <c r="N1158" s="407"/>
      <c r="O1158" s="407"/>
      <c r="P1158" s="407"/>
      <c r="Q1158" s="407"/>
      <c r="R1158" s="407"/>
      <c r="S1158" s="407"/>
      <c r="T1158" s="407"/>
      <c r="U1158" s="407"/>
      <c r="V1158" s="23"/>
    </row>
    <row r="1159" spans="1:40" s="16" customFormat="1" ht="21" customHeight="1" x14ac:dyDescent="0.2">
      <c r="A1159" s="11"/>
      <c r="B1159" s="77"/>
      <c r="C1159" s="77"/>
      <c r="D1159" s="77"/>
      <c r="E1159" s="77"/>
      <c r="F1159" s="77"/>
      <c r="G1159" s="77"/>
      <c r="H1159" s="77"/>
      <c r="I1159" s="77"/>
      <c r="J1159" s="77"/>
      <c r="K1159" s="77"/>
      <c r="L1159" s="77"/>
      <c r="M1159" s="77"/>
      <c r="N1159" s="77"/>
      <c r="O1159" s="77"/>
      <c r="P1159" s="77"/>
      <c r="Q1159" s="77"/>
      <c r="R1159" s="77"/>
      <c r="S1159" s="77"/>
      <c r="T1159" s="77"/>
      <c r="U1159" s="77"/>
      <c r="V1159" s="23"/>
    </row>
    <row r="1160" spans="1:40" s="16" customFormat="1" ht="15" customHeight="1" x14ac:dyDescent="0.2">
      <c r="A1160" s="567" t="s">
        <v>125</v>
      </c>
      <c r="B1160" s="600" t="s">
        <v>443</v>
      </c>
      <c r="C1160" s="600"/>
      <c r="D1160" s="600"/>
      <c r="E1160" s="600"/>
      <c r="F1160" s="605" t="s">
        <v>444</v>
      </c>
      <c r="G1160" s="605"/>
      <c r="H1160" s="605"/>
      <c r="I1160" s="605"/>
      <c r="J1160" s="605"/>
      <c r="K1160" s="605"/>
      <c r="L1160" s="605" t="s">
        <v>445</v>
      </c>
      <c r="M1160" s="605"/>
      <c r="N1160" s="605"/>
      <c r="O1160" s="605"/>
      <c r="P1160" s="605"/>
      <c r="Q1160" s="605"/>
      <c r="R1160" s="600" t="s">
        <v>446</v>
      </c>
      <c r="S1160" s="600"/>
      <c r="T1160" s="600"/>
      <c r="U1160" s="600"/>
      <c r="V1160" s="23"/>
    </row>
    <row r="1161" spans="1:40" s="16" customFormat="1" ht="20.25" customHeight="1" x14ac:dyDescent="0.2">
      <c r="A1161" s="568"/>
      <c r="B1161" s="732">
        <f>B1147</f>
        <v>2017</v>
      </c>
      <c r="C1161" s="600"/>
      <c r="D1161" s="600"/>
      <c r="E1161" s="600"/>
      <c r="F1161" s="600" t="s">
        <v>447</v>
      </c>
      <c r="G1161" s="600"/>
      <c r="H1161" s="600"/>
      <c r="I1161" s="599" t="s">
        <v>448</v>
      </c>
      <c r="J1161" s="599"/>
      <c r="K1161" s="599"/>
      <c r="L1161" s="600" t="s">
        <v>447</v>
      </c>
      <c r="M1161" s="600"/>
      <c r="N1161" s="600"/>
      <c r="O1161" s="601" t="s">
        <v>448</v>
      </c>
      <c r="P1161" s="601"/>
      <c r="Q1161" s="601"/>
      <c r="R1161" s="713">
        <f>R1147</f>
        <v>2018</v>
      </c>
      <c r="S1161" s="714"/>
      <c r="T1161" s="714"/>
      <c r="U1161" s="715"/>
      <c r="V1161" s="487"/>
      <c r="W1161" s="480"/>
      <c r="X1161" s="480"/>
      <c r="Y1161" s="471" t="s">
        <v>449</v>
      </c>
      <c r="Z1161" s="480"/>
      <c r="AA1161" s="480"/>
      <c r="AB1161" s="480"/>
      <c r="AC1161" s="488" t="s">
        <v>438</v>
      </c>
      <c r="AD1161" s="489"/>
      <c r="AE1161" s="489"/>
      <c r="AF1161" s="489"/>
    </row>
    <row r="1162" spans="1:40" s="16" customFormat="1" ht="55.5" customHeight="1" x14ac:dyDescent="0.2">
      <c r="A1162" s="217" t="str">
        <f>C1156</f>
        <v>Bangunan Gedung Tempat Tinggal</v>
      </c>
      <c r="B1162" s="650">
        <f>'[1]4.NERACA'!D101</f>
        <v>149731470</v>
      </c>
      <c r="C1162" s="651"/>
      <c r="D1162" s="651"/>
      <c r="E1162" s="652"/>
      <c r="F1162" s="650">
        <f>'[1]4.NERACA'!E101</f>
        <v>0</v>
      </c>
      <c r="G1162" s="651"/>
      <c r="H1162" s="652"/>
      <c r="I1162" s="666">
        <f>'[1]4.NERACA'!F101</f>
        <v>0</v>
      </c>
      <c r="J1162" s="667"/>
      <c r="K1162" s="668"/>
      <c r="L1162" s="650">
        <f>'[1]4.NERACA'!G101</f>
        <v>0</v>
      </c>
      <c r="M1162" s="651"/>
      <c r="N1162" s="652"/>
      <c r="O1162" s="650">
        <f>'[1]4.NERACA'!H101</f>
        <v>0</v>
      </c>
      <c r="P1162" s="651"/>
      <c r="Q1162" s="652"/>
      <c r="R1162" s="650">
        <f>B1162+F1162-I1162+L1162-O1162</f>
        <v>149731470</v>
      </c>
      <c r="S1162" s="651"/>
      <c r="T1162" s="651"/>
      <c r="U1162" s="652"/>
      <c r="V1162" s="479"/>
      <c r="W1162" s="480"/>
      <c r="X1162" s="480"/>
      <c r="Y1162" s="471">
        <f>(R1162-B1162)/B1162*100</f>
        <v>0</v>
      </c>
      <c r="Z1162" s="480"/>
      <c r="AA1162" s="480"/>
      <c r="AB1162" s="480"/>
      <c r="AC1162" s="471">
        <f>R1162-B1162</f>
        <v>0</v>
      </c>
      <c r="AD1162" s="472"/>
      <c r="AE1162" s="472"/>
      <c r="AF1162" s="472"/>
    </row>
    <row r="1163" spans="1:40" s="16" customFormat="1" ht="15" customHeight="1" x14ac:dyDescent="0.2">
      <c r="A1163" s="11"/>
      <c r="B1163" s="408" t="s">
        <v>461</v>
      </c>
      <c r="C1163" s="408"/>
      <c r="D1163" s="408"/>
      <c r="E1163" s="408"/>
      <c r="F1163" s="408"/>
      <c r="G1163" s="408"/>
      <c r="H1163" s="408"/>
      <c r="I1163" s="408"/>
      <c r="J1163" s="408"/>
      <c r="K1163" s="408"/>
      <c r="L1163" s="408"/>
      <c r="M1163" s="408"/>
      <c r="N1163" s="408"/>
      <c r="O1163" s="408"/>
      <c r="P1163" s="408"/>
      <c r="Q1163" s="408"/>
      <c r="R1163" s="408"/>
      <c r="S1163" s="408"/>
      <c r="T1163" s="408"/>
      <c r="U1163" s="408"/>
      <c r="V1163" s="23"/>
    </row>
    <row r="1164" spans="1:40" s="16" customFormat="1" ht="20.25" customHeight="1" x14ac:dyDescent="0.2">
      <c r="A1164" s="11"/>
      <c r="B1164" s="125"/>
      <c r="C1164" s="408" t="str">
        <f>"a. Penambahan Aset sebesar Rp. "&amp;FIXED(F1162+L1162)&amp;" "</f>
        <v xml:space="preserve">a. Penambahan Aset sebesar Rp. 0,00 </v>
      </c>
      <c r="D1164" s="408"/>
      <c r="E1164" s="408"/>
      <c r="F1164" s="408"/>
      <c r="G1164" s="408"/>
      <c r="H1164" s="408"/>
      <c r="I1164" s="408"/>
      <c r="J1164" s="408"/>
      <c r="K1164" s="408"/>
      <c r="L1164" s="408"/>
      <c r="M1164" s="408"/>
      <c r="N1164" s="408"/>
      <c r="O1164" s="408"/>
      <c r="P1164" s="408"/>
      <c r="Q1164" s="408"/>
      <c r="R1164" s="408"/>
      <c r="S1164" s="408"/>
      <c r="T1164" s="408"/>
      <c r="U1164" s="408"/>
      <c r="V1164" s="23"/>
    </row>
    <row r="1165" spans="1:40" s="16" customFormat="1" ht="21" customHeight="1" x14ac:dyDescent="0.2">
      <c r="A1165" s="11"/>
      <c r="B1165" s="203"/>
      <c r="C1165" s="408" t="str">
        <f>"b. Pengurangan Aset sebesar Rp. "&amp;FIXED(I1163+O1163)&amp;" "</f>
        <v xml:space="preserve">b. Pengurangan Aset sebesar Rp. 0,00 </v>
      </c>
      <c r="D1165" s="408"/>
      <c r="E1165" s="408"/>
      <c r="F1165" s="408"/>
      <c r="G1165" s="408"/>
      <c r="H1165" s="408"/>
      <c r="I1165" s="408"/>
      <c r="J1165" s="408"/>
      <c r="K1165" s="408"/>
      <c r="L1165" s="408"/>
      <c r="M1165" s="408"/>
      <c r="N1165" s="408"/>
      <c r="O1165" s="408"/>
      <c r="P1165" s="408"/>
      <c r="Q1165" s="408"/>
      <c r="R1165" s="408"/>
      <c r="S1165" s="408"/>
      <c r="T1165" s="408"/>
      <c r="U1165" s="408"/>
      <c r="V1165" s="23"/>
    </row>
    <row r="1166" spans="1:40" s="16" customFormat="1" ht="13.5" customHeight="1" x14ac:dyDescent="0.2">
      <c r="A1166" s="11"/>
      <c r="B1166" s="203"/>
      <c r="C1166" s="37"/>
      <c r="D1166" s="37"/>
      <c r="E1166" s="37"/>
      <c r="F1166" s="37"/>
      <c r="G1166" s="37"/>
      <c r="H1166" s="37"/>
      <c r="I1166" s="37"/>
      <c r="J1166" s="37"/>
      <c r="K1166" s="37"/>
      <c r="L1166" s="37"/>
      <c r="M1166" s="37"/>
      <c r="N1166" s="37"/>
      <c r="O1166" s="37"/>
      <c r="P1166" s="37"/>
      <c r="Q1166" s="37"/>
      <c r="R1166" s="37"/>
      <c r="S1166" s="37"/>
      <c r="T1166" s="37"/>
      <c r="U1166" s="37"/>
      <c r="V1166" s="23"/>
    </row>
    <row r="1167" spans="1:40" s="16" customFormat="1" ht="15" customHeight="1" x14ac:dyDescent="0.2">
      <c r="A1167" s="11"/>
      <c r="B1167" s="202" t="s">
        <v>154</v>
      </c>
      <c r="C1167" s="402" t="str">
        <f>'[1]4.NERACA'!C102</f>
        <v>Bangunan Menara</v>
      </c>
      <c r="D1167" s="402"/>
      <c r="E1167" s="402"/>
      <c r="F1167" s="402"/>
      <c r="G1167" s="402"/>
      <c r="H1167" s="402"/>
      <c r="I1167" s="402"/>
      <c r="J1167" s="402"/>
      <c r="K1167" s="402"/>
      <c r="L1167" s="402"/>
      <c r="M1167" s="402"/>
      <c r="N1167" s="402"/>
      <c r="O1167" s="402"/>
      <c r="P1167" s="402"/>
      <c r="Q1167" s="402"/>
      <c r="R1167" s="402"/>
      <c r="S1167" s="402"/>
      <c r="T1167" s="402"/>
      <c r="U1167" s="402"/>
      <c r="V1167" s="23"/>
    </row>
    <row r="1168" spans="1:40" s="16" customFormat="1" ht="60" customHeight="1" x14ac:dyDescent="0.25">
      <c r="A1168" s="11"/>
      <c r="C1168" s="407" t="str">
        <f>"Nilai aset tetap berupa "&amp;C1167&amp;"  per "&amp;'[1]2.ISIAN DATA SKPD'!D8&amp;" dan  "&amp;'[1]2.ISIAN DATA SKPD'!D12&amp;" adalah sebesar Rp. "&amp;FIXED(R1173)&amp;" dan Rp. "&amp;FIXED(B1173)&amp;" tidak mengalami kenaikan/penurunan sebesar Rp. "&amp;FIXED(AC1173)&amp;" atau sebesar "&amp;FIXED(Y1173)&amp;"% dari tahun "&amp;'[1]2.ISIAN DATA SKPD'!D12&amp;"."</f>
        <v>Nilai aset tetap berupa Bangunan Menara  per 31 Desember 2018 dan  2017 adalah sebesar Rp. 0,00 dan Rp. 0,00 tidak mengalami kenaikan/penurunan sebesar Rp. 0,00 atau sebesar 0,00% dari tahun 2017.</v>
      </c>
      <c r="D1168" s="407"/>
      <c r="E1168" s="407"/>
      <c r="F1168" s="407"/>
      <c r="G1168" s="407"/>
      <c r="H1168" s="407"/>
      <c r="I1168" s="407"/>
      <c r="J1168" s="407"/>
      <c r="K1168" s="407"/>
      <c r="L1168" s="407"/>
      <c r="M1168" s="407"/>
      <c r="N1168" s="407"/>
      <c r="O1168" s="407"/>
      <c r="P1168" s="407"/>
      <c r="Q1168" s="407"/>
      <c r="R1168" s="407"/>
      <c r="S1168" s="407"/>
      <c r="T1168" s="407"/>
      <c r="U1168" s="407"/>
      <c r="V1168" s="745"/>
      <c r="W1168" s="745"/>
      <c r="X1168" s="745"/>
      <c r="Y1168" s="745"/>
      <c r="Z1168" s="745"/>
      <c r="AA1168" s="745"/>
      <c r="AB1168" s="745"/>
      <c r="AC1168" s="745"/>
      <c r="AD1168" s="745"/>
      <c r="AE1168" s="745"/>
      <c r="AF1168" s="745"/>
      <c r="AG1168" s="745"/>
      <c r="AH1168" s="745"/>
      <c r="AI1168" s="745"/>
      <c r="AJ1168" s="745"/>
      <c r="AK1168" s="745"/>
      <c r="AL1168" s="745"/>
      <c r="AM1168" s="745"/>
      <c r="AN1168" s="20"/>
    </row>
    <row r="1169" spans="1:40" s="16" customFormat="1" ht="21" customHeight="1" x14ac:dyDescent="0.2">
      <c r="A1169" s="11"/>
      <c r="C1169" s="407" t="str">
        <f>"Dengan mutasi  selama tahun "&amp;'[1]2.ISIAN DATA SKPD'!D11&amp;" sebagai berikut :"</f>
        <v>Dengan mutasi  selama tahun 2018 sebagai berikut :</v>
      </c>
      <c r="D1169" s="407"/>
      <c r="E1169" s="407"/>
      <c r="F1169" s="407"/>
      <c r="G1169" s="407"/>
      <c r="H1169" s="407"/>
      <c r="I1169" s="407"/>
      <c r="J1169" s="407"/>
      <c r="K1169" s="407"/>
      <c r="L1169" s="407"/>
      <c r="M1169" s="407"/>
      <c r="N1169" s="407"/>
      <c r="O1169" s="407"/>
      <c r="P1169" s="407"/>
      <c r="Q1169" s="407"/>
      <c r="R1169" s="407"/>
      <c r="S1169" s="407"/>
      <c r="T1169" s="407"/>
      <c r="U1169" s="407"/>
      <c r="V1169" s="117"/>
      <c r="W1169" s="744"/>
      <c r="X1169" s="744"/>
      <c r="Y1169" s="744"/>
      <c r="Z1169" s="744"/>
      <c r="AA1169" s="744"/>
      <c r="AB1169" s="744"/>
      <c r="AC1169" s="744"/>
      <c r="AD1169" s="744"/>
      <c r="AE1169" s="744"/>
      <c r="AF1169" s="744"/>
      <c r="AG1169" s="744"/>
      <c r="AH1169" s="744"/>
      <c r="AI1169" s="744"/>
      <c r="AJ1169" s="744"/>
      <c r="AK1169" s="744"/>
      <c r="AL1169" s="744"/>
      <c r="AM1169" s="744"/>
      <c r="AN1169" s="218"/>
    </row>
    <row r="1170" spans="1:40" s="16" customFormat="1" ht="16.5" customHeight="1" x14ac:dyDescent="0.2">
      <c r="A1170" s="11"/>
      <c r="C1170" s="77"/>
      <c r="D1170" s="77"/>
      <c r="E1170" s="77"/>
      <c r="F1170" s="77"/>
      <c r="G1170" s="77"/>
      <c r="H1170" s="77"/>
      <c r="I1170" s="77"/>
      <c r="J1170" s="77"/>
      <c r="K1170" s="77"/>
      <c r="L1170" s="77"/>
      <c r="M1170" s="77"/>
      <c r="N1170" s="77"/>
      <c r="O1170" s="77"/>
      <c r="P1170" s="77"/>
      <c r="Q1170" s="77"/>
      <c r="R1170" s="77"/>
      <c r="S1170" s="77"/>
      <c r="T1170" s="77"/>
      <c r="U1170" s="77"/>
      <c r="V1170" s="117"/>
      <c r="W1170" s="219"/>
      <c r="X1170" s="219"/>
      <c r="Y1170" s="219"/>
      <c r="Z1170" s="219"/>
      <c r="AA1170" s="219"/>
      <c r="AB1170" s="219"/>
      <c r="AC1170" s="219"/>
      <c r="AD1170" s="219"/>
      <c r="AE1170" s="219"/>
      <c r="AF1170" s="219"/>
      <c r="AG1170" s="219"/>
      <c r="AH1170" s="219"/>
      <c r="AI1170" s="219"/>
      <c r="AJ1170" s="219"/>
      <c r="AK1170" s="219"/>
      <c r="AL1170" s="219"/>
      <c r="AM1170" s="219"/>
      <c r="AN1170" s="218"/>
    </row>
    <row r="1171" spans="1:40" s="16" customFormat="1" ht="15" customHeight="1" x14ac:dyDescent="0.2">
      <c r="A1171" s="567" t="s">
        <v>125</v>
      </c>
      <c r="B1171" s="600" t="s">
        <v>443</v>
      </c>
      <c r="C1171" s="600"/>
      <c r="D1171" s="600"/>
      <c r="E1171" s="600"/>
      <c r="F1171" s="605" t="s">
        <v>444</v>
      </c>
      <c r="G1171" s="605"/>
      <c r="H1171" s="605"/>
      <c r="I1171" s="605"/>
      <c r="J1171" s="605"/>
      <c r="K1171" s="605"/>
      <c r="L1171" s="605" t="s">
        <v>445</v>
      </c>
      <c r="M1171" s="605"/>
      <c r="N1171" s="605"/>
      <c r="O1171" s="605"/>
      <c r="P1171" s="605"/>
      <c r="Q1171" s="605"/>
      <c r="R1171" s="600" t="s">
        <v>446</v>
      </c>
      <c r="S1171" s="600"/>
      <c r="T1171" s="600"/>
      <c r="U1171" s="600"/>
      <c r="V1171" s="117"/>
      <c r="W1171" s="744"/>
      <c r="X1171" s="744"/>
      <c r="Y1171" s="744"/>
      <c r="Z1171" s="744"/>
      <c r="AA1171" s="744"/>
      <c r="AB1171" s="744"/>
      <c r="AC1171" s="744"/>
      <c r="AD1171" s="744"/>
      <c r="AE1171" s="744"/>
      <c r="AF1171" s="744"/>
      <c r="AG1171" s="744"/>
      <c r="AH1171" s="744"/>
      <c r="AI1171" s="744"/>
      <c r="AJ1171" s="744"/>
      <c r="AK1171" s="744"/>
      <c r="AL1171" s="744"/>
      <c r="AM1171" s="744"/>
      <c r="AN1171" s="218"/>
    </row>
    <row r="1172" spans="1:40" s="16" customFormat="1" ht="15" customHeight="1" x14ac:dyDescent="0.2">
      <c r="A1172" s="568"/>
      <c r="B1172" s="600">
        <f>B1161</f>
        <v>2017</v>
      </c>
      <c r="C1172" s="600"/>
      <c r="D1172" s="600"/>
      <c r="E1172" s="600"/>
      <c r="F1172" s="600" t="s">
        <v>447</v>
      </c>
      <c r="G1172" s="600"/>
      <c r="H1172" s="600"/>
      <c r="I1172" s="599" t="s">
        <v>448</v>
      </c>
      <c r="J1172" s="599"/>
      <c r="K1172" s="599"/>
      <c r="L1172" s="600" t="s">
        <v>447</v>
      </c>
      <c r="M1172" s="600"/>
      <c r="N1172" s="600"/>
      <c r="O1172" s="601" t="s">
        <v>448</v>
      </c>
      <c r="P1172" s="601"/>
      <c r="Q1172" s="601"/>
      <c r="R1172" s="713">
        <f>R1161</f>
        <v>2018</v>
      </c>
      <c r="S1172" s="714"/>
      <c r="T1172" s="714"/>
      <c r="U1172" s="715"/>
      <c r="V1172" s="487"/>
      <c r="W1172" s="480"/>
      <c r="X1172" s="480"/>
      <c r="Y1172" s="471" t="s">
        <v>449</v>
      </c>
      <c r="Z1172" s="480"/>
      <c r="AA1172" s="480"/>
      <c r="AB1172" s="480"/>
      <c r="AC1172" s="488" t="s">
        <v>438</v>
      </c>
      <c r="AD1172" s="489"/>
      <c r="AE1172" s="489"/>
      <c r="AF1172" s="489"/>
      <c r="AG1172" s="218"/>
      <c r="AH1172" s="218"/>
      <c r="AI1172" s="218"/>
      <c r="AJ1172" s="218"/>
      <c r="AK1172" s="218"/>
      <c r="AL1172" s="218"/>
      <c r="AM1172" s="218"/>
      <c r="AN1172" s="218"/>
    </row>
    <row r="1173" spans="1:40" s="16" customFormat="1" ht="32.25" customHeight="1" x14ac:dyDescent="0.2">
      <c r="A1173" s="217" t="str">
        <f>C1167</f>
        <v>Bangunan Menara</v>
      </c>
      <c r="B1173" s="650">
        <f>'[1]4.NERACA'!D102</f>
        <v>0</v>
      </c>
      <c r="C1173" s="651"/>
      <c r="D1173" s="651"/>
      <c r="E1173" s="652"/>
      <c r="F1173" s="650">
        <f>'[1]4.NERACA'!E102</f>
        <v>0</v>
      </c>
      <c r="G1173" s="651"/>
      <c r="H1173" s="652"/>
      <c r="I1173" s="666">
        <f>'[1]4.NERACA'!F102</f>
        <v>0</v>
      </c>
      <c r="J1173" s="667"/>
      <c r="K1173" s="668"/>
      <c r="L1173" s="650">
        <f>'[1]4.NERACA'!G102</f>
        <v>0</v>
      </c>
      <c r="M1173" s="651"/>
      <c r="N1173" s="652"/>
      <c r="O1173" s="650">
        <f>'[1]4.NERACA'!H102</f>
        <v>0</v>
      </c>
      <c r="P1173" s="651"/>
      <c r="Q1173" s="652"/>
      <c r="R1173" s="650">
        <f>B1173+F1173-I1173+L1173-O1173</f>
        <v>0</v>
      </c>
      <c r="S1173" s="651"/>
      <c r="T1173" s="651"/>
      <c r="U1173" s="652"/>
      <c r="V1173" s="479"/>
      <c r="W1173" s="480"/>
      <c r="X1173" s="480"/>
      <c r="Y1173" s="471">
        <v>0</v>
      </c>
      <c r="Z1173" s="480"/>
      <c r="AA1173" s="480"/>
      <c r="AB1173" s="480"/>
      <c r="AC1173" s="471">
        <f>R1173-B1173</f>
        <v>0</v>
      </c>
      <c r="AD1173" s="472"/>
      <c r="AE1173" s="472"/>
      <c r="AF1173" s="472"/>
      <c r="AG1173" s="20"/>
      <c r="AH1173" s="20"/>
      <c r="AI1173" s="20"/>
      <c r="AJ1173" s="20"/>
      <c r="AK1173" s="20"/>
      <c r="AL1173" s="20"/>
      <c r="AM1173" s="20"/>
      <c r="AN1173" s="20"/>
    </row>
    <row r="1174" spans="1:40" s="16" customFormat="1" ht="15" customHeight="1" x14ac:dyDescent="0.2">
      <c r="A1174" s="11"/>
      <c r="B1174" s="408" t="s">
        <v>461</v>
      </c>
      <c r="C1174" s="408"/>
      <c r="D1174" s="408"/>
      <c r="E1174" s="408"/>
      <c r="F1174" s="408"/>
      <c r="G1174" s="408"/>
      <c r="H1174" s="408"/>
      <c r="I1174" s="408"/>
      <c r="J1174" s="408"/>
      <c r="K1174" s="408"/>
      <c r="L1174" s="408"/>
      <c r="M1174" s="408"/>
      <c r="N1174" s="408"/>
      <c r="O1174" s="408"/>
      <c r="P1174" s="408"/>
      <c r="Q1174" s="408"/>
      <c r="R1174" s="408"/>
      <c r="S1174" s="408"/>
      <c r="T1174" s="408"/>
      <c r="U1174" s="408"/>
      <c r="V1174" s="117"/>
      <c r="W1174" s="744"/>
      <c r="X1174" s="744"/>
      <c r="Y1174" s="744"/>
      <c r="Z1174" s="744"/>
      <c r="AA1174" s="744"/>
      <c r="AB1174" s="744"/>
      <c r="AC1174" s="744"/>
      <c r="AD1174" s="744"/>
      <c r="AE1174" s="744"/>
      <c r="AF1174" s="744"/>
      <c r="AG1174" s="744"/>
      <c r="AH1174" s="744"/>
      <c r="AI1174" s="744"/>
      <c r="AJ1174" s="744"/>
      <c r="AK1174" s="744"/>
      <c r="AL1174" s="744"/>
      <c r="AM1174" s="744"/>
      <c r="AN1174" s="218"/>
    </row>
    <row r="1175" spans="1:40" s="16" customFormat="1" ht="15" customHeight="1" x14ac:dyDescent="0.2">
      <c r="A1175" s="11"/>
      <c r="B1175" s="125"/>
      <c r="C1175" s="408" t="str">
        <f>"a. Penambahan Aset sebesar Rp. "&amp;FIXED(F1173+L1173)&amp;"  "</f>
        <v xml:space="preserve">a. Penambahan Aset sebesar Rp. 0,00  </v>
      </c>
      <c r="D1175" s="408"/>
      <c r="E1175" s="408"/>
      <c r="F1175" s="408"/>
      <c r="G1175" s="408"/>
      <c r="H1175" s="408"/>
      <c r="I1175" s="408"/>
      <c r="J1175" s="408"/>
      <c r="K1175" s="408"/>
      <c r="L1175" s="408"/>
      <c r="M1175" s="408"/>
      <c r="N1175" s="408"/>
      <c r="O1175" s="408"/>
      <c r="P1175" s="408"/>
      <c r="Q1175" s="408"/>
      <c r="R1175" s="408"/>
      <c r="S1175" s="408"/>
      <c r="T1175" s="408"/>
      <c r="U1175" s="408"/>
      <c r="V1175" s="117"/>
      <c r="W1175" s="744"/>
      <c r="X1175" s="744"/>
      <c r="Y1175" s="744"/>
      <c r="Z1175" s="744"/>
      <c r="AA1175" s="744"/>
      <c r="AB1175" s="744"/>
      <c r="AC1175" s="744"/>
      <c r="AD1175" s="744"/>
      <c r="AE1175" s="744"/>
      <c r="AF1175" s="744"/>
      <c r="AG1175" s="744"/>
      <c r="AH1175" s="744"/>
      <c r="AI1175" s="744"/>
      <c r="AJ1175" s="744"/>
      <c r="AK1175" s="744"/>
      <c r="AL1175" s="744"/>
      <c r="AM1175" s="744"/>
      <c r="AN1175" s="218"/>
    </row>
    <row r="1176" spans="1:40" s="16" customFormat="1" ht="15" customHeight="1" x14ac:dyDescent="0.2">
      <c r="A1176" s="11"/>
      <c r="B1176" s="125"/>
      <c r="C1176" s="408" t="str">
        <f>"b. Pengurangan Aset sebesar Rp. "&amp;FIXED(I1173+O1173)&amp;" "</f>
        <v xml:space="preserve">b. Pengurangan Aset sebesar Rp. 0,00 </v>
      </c>
      <c r="D1176" s="408"/>
      <c r="E1176" s="408"/>
      <c r="F1176" s="408"/>
      <c r="G1176" s="408"/>
      <c r="H1176" s="408"/>
      <c r="I1176" s="408"/>
      <c r="J1176" s="408"/>
      <c r="K1176" s="408"/>
      <c r="L1176" s="408"/>
      <c r="M1176" s="408"/>
      <c r="N1176" s="408"/>
      <c r="O1176" s="408"/>
      <c r="P1176" s="408"/>
      <c r="Q1176" s="408"/>
      <c r="R1176" s="408"/>
      <c r="S1176" s="408"/>
      <c r="T1176" s="408"/>
      <c r="U1176" s="408"/>
      <c r="V1176" s="23"/>
    </row>
    <row r="1177" spans="1:40" s="16" customFormat="1" ht="15" customHeight="1" x14ac:dyDescent="0.2">
      <c r="A1177" s="11"/>
      <c r="B1177" s="202" t="s">
        <v>155</v>
      </c>
      <c r="C1177" s="402" t="str">
        <f>'[1]4.NERACA'!C103</f>
        <v>Bangunan Bersejarah</v>
      </c>
      <c r="D1177" s="402"/>
      <c r="E1177" s="402"/>
      <c r="F1177" s="402"/>
      <c r="G1177" s="402"/>
      <c r="H1177" s="402"/>
      <c r="I1177" s="402"/>
      <c r="J1177" s="402"/>
      <c r="K1177" s="402"/>
      <c r="L1177" s="402"/>
      <c r="M1177" s="402"/>
      <c r="N1177" s="402"/>
      <c r="O1177" s="402"/>
      <c r="P1177" s="402"/>
      <c r="Q1177" s="402"/>
      <c r="R1177" s="402"/>
      <c r="S1177" s="402"/>
      <c r="T1177" s="402"/>
      <c r="U1177" s="402"/>
      <c r="V1177" s="23"/>
    </row>
    <row r="1178" spans="1:40" s="16" customFormat="1" ht="63" customHeight="1" x14ac:dyDescent="0.2">
      <c r="A1178" s="11"/>
      <c r="C1178" s="407" t="str">
        <f>"Nilai aset tetap berupa "&amp;C1177&amp;"  per "&amp;'[1]2.ISIAN DATA SKPD'!D8&amp;" dan  "&amp;'[1]2.ISIAN DATA SKPD'!D12&amp;" adalah sebesar Rp. "&amp;FIXED(R1183)&amp;" dan Rp. "&amp;FIXED(B1183)&amp;" tidak mengalami kenaikan/penurunan sebesar Rp. "&amp;FIXED(AC1183)&amp;" atau sebesar "&amp;FIXED(Y1183)&amp;"% dari tahun "&amp;'[1]2.ISIAN DATA SKPD'!D12&amp;"."</f>
        <v>Nilai aset tetap berupa Bangunan Bersejarah  per 31 Desember 2018 dan  2017 adalah sebesar Rp. 0,00 dan Rp. 0,00 tidak mengalami kenaikan/penurunan sebesar Rp. 0,00 atau sebesar 0,00% dari tahun 2017.</v>
      </c>
      <c r="D1178" s="407"/>
      <c r="E1178" s="407"/>
      <c r="F1178" s="407"/>
      <c r="G1178" s="407"/>
      <c r="H1178" s="407"/>
      <c r="I1178" s="407"/>
      <c r="J1178" s="407"/>
      <c r="K1178" s="407"/>
      <c r="L1178" s="407"/>
      <c r="M1178" s="407"/>
      <c r="N1178" s="407"/>
      <c r="O1178" s="407"/>
      <c r="P1178" s="407"/>
      <c r="Q1178" s="407"/>
      <c r="R1178" s="407"/>
      <c r="S1178" s="407"/>
      <c r="T1178" s="407"/>
      <c r="U1178" s="407"/>
      <c r="V1178" s="23"/>
    </row>
    <row r="1179" spans="1:40" s="16" customFormat="1" ht="18.75" customHeight="1" x14ac:dyDescent="0.2">
      <c r="A1179" s="11"/>
      <c r="B1179" s="29"/>
      <c r="C1179" s="407" t="str">
        <f>"Dengan mutasi  selama tahun "&amp;'[1]2.ISIAN DATA SKPD'!D11&amp;" sebagai berikut :"</f>
        <v>Dengan mutasi  selama tahun 2018 sebagai berikut :</v>
      </c>
      <c r="D1179" s="407"/>
      <c r="E1179" s="407"/>
      <c r="F1179" s="407"/>
      <c r="G1179" s="407"/>
      <c r="H1179" s="407"/>
      <c r="I1179" s="407"/>
      <c r="J1179" s="407"/>
      <c r="K1179" s="407"/>
      <c r="L1179" s="407"/>
      <c r="M1179" s="407"/>
      <c r="N1179" s="407"/>
      <c r="O1179" s="407"/>
      <c r="P1179" s="407"/>
      <c r="Q1179" s="407"/>
      <c r="R1179" s="407"/>
      <c r="S1179" s="407"/>
      <c r="T1179" s="407"/>
      <c r="U1179" s="407"/>
      <c r="V1179" s="23"/>
    </row>
    <row r="1180" spans="1:40" s="16" customFormat="1" ht="11.25" customHeight="1" x14ac:dyDescent="0.2">
      <c r="A1180" s="11"/>
      <c r="B1180" s="165"/>
      <c r="C1180" s="77"/>
      <c r="D1180" s="77"/>
      <c r="E1180" s="77"/>
      <c r="F1180" s="77"/>
      <c r="G1180" s="77"/>
      <c r="H1180" s="77"/>
      <c r="I1180" s="77"/>
      <c r="J1180" s="77"/>
      <c r="K1180" s="77"/>
      <c r="L1180" s="77"/>
      <c r="M1180" s="77"/>
      <c r="N1180" s="77"/>
      <c r="O1180" s="77"/>
      <c r="P1180" s="77"/>
      <c r="Q1180" s="77"/>
      <c r="R1180" s="77"/>
      <c r="S1180" s="77"/>
      <c r="T1180" s="77"/>
      <c r="U1180" s="77"/>
      <c r="V1180" s="23"/>
    </row>
    <row r="1181" spans="1:40" s="16" customFormat="1" ht="15" customHeight="1" x14ac:dyDescent="0.2">
      <c r="A1181" s="567" t="s">
        <v>125</v>
      </c>
      <c r="B1181" s="600" t="s">
        <v>443</v>
      </c>
      <c r="C1181" s="600"/>
      <c r="D1181" s="600"/>
      <c r="E1181" s="600"/>
      <c r="F1181" s="605" t="s">
        <v>444</v>
      </c>
      <c r="G1181" s="605"/>
      <c r="H1181" s="605"/>
      <c r="I1181" s="605"/>
      <c r="J1181" s="605"/>
      <c r="K1181" s="605"/>
      <c r="L1181" s="605" t="s">
        <v>445</v>
      </c>
      <c r="M1181" s="605"/>
      <c r="N1181" s="605"/>
      <c r="O1181" s="605"/>
      <c r="P1181" s="605"/>
      <c r="Q1181" s="605"/>
      <c r="R1181" s="600" t="s">
        <v>446</v>
      </c>
      <c r="S1181" s="600"/>
      <c r="T1181" s="600"/>
      <c r="U1181" s="600"/>
      <c r="V1181" s="23"/>
    </row>
    <row r="1182" spans="1:40" s="16" customFormat="1" ht="15" customHeight="1" x14ac:dyDescent="0.2">
      <c r="A1182" s="568"/>
      <c r="B1182" s="732">
        <f>B1172</f>
        <v>2017</v>
      </c>
      <c r="C1182" s="600"/>
      <c r="D1182" s="600"/>
      <c r="E1182" s="600"/>
      <c r="F1182" s="600" t="s">
        <v>447</v>
      </c>
      <c r="G1182" s="600"/>
      <c r="H1182" s="600"/>
      <c r="I1182" s="599" t="s">
        <v>448</v>
      </c>
      <c r="J1182" s="599"/>
      <c r="K1182" s="599"/>
      <c r="L1182" s="600" t="s">
        <v>447</v>
      </c>
      <c r="M1182" s="600"/>
      <c r="N1182" s="600"/>
      <c r="O1182" s="601" t="s">
        <v>448</v>
      </c>
      <c r="P1182" s="601"/>
      <c r="Q1182" s="601"/>
      <c r="R1182" s="713">
        <f>R1172</f>
        <v>2018</v>
      </c>
      <c r="S1182" s="714"/>
      <c r="T1182" s="714"/>
      <c r="U1182" s="715"/>
      <c r="V1182" s="487"/>
      <c r="W1182" s="480"/>
      <c r="X1182" s="480"/>
      <c r="Y1182" s="471" t="s">
        <v>449</v>
      </c>
      <c r="Z1182" s="480"/>
      <c r="AA1182" s="480"/>
      <c r="AB1182" s="480"/>
      <c r="AC1182" s="488" t="s">
        <v>438</v>
      </c>
      <c r="AD1182" s="489"/>
      <c r="AE1182" s="489"/>
      <c r="AF1182" s="489"/>
    </row>
    <row r="1183" spans="1:40" s="16" customFormat="1" ht="30" customHeight="1" x14ac:dyDescent="0.2">
      <c r="A1183" s="217" t="str">
        <f>C1177</f>
        <v>Bangunan Bersejarah</v>
      </c>
      <c r="B1183" s="580">
        <f>'[1]4.NERACA'!D103</f>
        <v>0</v>
      </c>
      <c r="C1183" s="581"/>
      <c r="D1183" s="581"/>
      <c r="E1183" s="582"/>
      <c r="F1183" s="580">
        <f>'[1]4.NERACA'!E103</f>
        <v>0</v>
      </c>
      <c r="G1183" s="581"/>
      <c r="H1183" s="582"/>
      <c r="I1183" s="682">
        <f>'[1]4.NERACA'!F103</f>
        <v>0</v>
      </c>
      <c r="J1183" s="683"/>
      <c r="K1183" s="684"/>
      <c r="L1183" s="580">
        <f>'[1]4.NERACA'!G103</f>
        <v>0</v>
      </c>
      <c r="M1183" s="581"/>
      <c r="N1183" s="582"/>
      <c r="O1183" s="580">
        <f>'[1]4.NERACA'!H103</f>
        <v>0</v>
      </c>
      <c r="P1183" s="581"/>
      <c r="Q1183" s="582"/>
      <c r="R1183" s="580">
        <f>B1183+F1183-I1183+L1183-O1183</f>
        <v>0</v>
      </c>
      <c r="S1183" s="581"/>
      <c r="T1183" s="581"/>
      <c r="U1183" s="582"/>
      <c r="V1183" s="479"/>
      <c r="W1183" s="480"/>
      <c r="X1183" s="480"/>
      <c r="Y1183" s="471">
        <v>0</v>
      </c>
      <c r="Z1183" s="480"/>
      <c r="AA1183" s="480"/>
      <c r="AB1183" s="480"/>
      <c r="AC1183" s="471">
        <f>R1183-B1183</f>
        <v>0</v>
      </c>
      <c r="AD1183" s="472"/>
      <c r="AE1183" s="472"/>
      <c r="AF1183" s="472"/>
    </row>
    <row r="1184" spans="1:40" s="16" customFormat="1" ht="15" customHeight="1" x14ac:dyDescent="0.2">
      <c r="A1184" s="11"/>
      <c r="B1184" s="408" t="s">
        <v>461</v>
      </c>
      <c r="C1184" s="408"/>
      <c r="D1184" s="408"/>
      <c r="E1184" s="408"/>
      <c r="F1184" s="408"/>
      <c r="G1184" s="408"/>
      <c r="H1184" s="408"/>
      <c r="I1184" s="408"/>
      <c r="J1184" s="408"/>
      <c r="K1184" s="408"/>
      <c r="L1184" s="408"/>
      <c r="M1184" s="408"/>
      <c r="N1184" s="408"/>
      <c r="O1184" s="408"/>
      <c r="P1184" s="408"/>
      <c r="Q1184" s="408"/>
      <c r="R1184" s="408"/>
      <c r="S1184" s="408"/>
      <c r="T1184" s="408"/>
      <c r="U1184" s="408"/>
      <c r="V1184" s="23"/>
    </row>
    <row r="1185" spans="1:32" s="16" customFormat="1" ht="15" customHeight="1" x14ac:dyDescent="0.2">
      <c r="A1185" s="11"/>
      <c r="B1185" s="125"/>
      <c r="C1185" s="408" t="s">
        <v>462</v>
      </c>
      <c r="D1185" s="408"/>
      <c r="E1185" s="408"/>
      <c r="F1185" s="408"/>
      <c r="G1185" s="408"/>
      <c r="H1185" s="408"/>
      <c r="I1185" s="408"/>
      <c r="J1185" s="408"/>
      <c r="K1185" s="408"/>
      <c r="L1185" s="408"/>
      <c r="M1185" s="408"/>
      <c r="N1185" s="408"/>
      <c r="O1185" s="408"/>
      <c r="P1185" s="408"/>
      <c r="Q1185" s="408"/>
      <c r="R1185" s="408"/>
      <c r="S1185" s="408"/>
      <c r="T1185" s="408"/>
      <c r="U1185" s="408"/>
      <c r="V1185" s="23"/>
    </row>
    <row r="1186" spans="1:32" s="16" customFormat="1" x14ac:dyDescent="0.2">
      <c r="A1186" s="11"/>
      <c r="B1186" s="125"/>
      <c r="C1186" s="408" t="str">
        <f>"Mutasi Debet sebesar Rp. "&amp;FIXED(F1183+L1183)&amp;". "</f>
        <v xml:space="preserve">Mutasi Debet sebesar Rp. 0,00. </v>
      </c>
      <c r="D1186" s="408"/>
      <c r="E1186" s="408"/>
      <c r="F1186" s="408"/>
      <c r="G1186" s="408"/>
      <c r="H1186" s="408"/>
      <c r="I1186" s="408"/>
      <c r="J1186" s="408"/>
      <c r="K1186" s="408"/>
      <c r="L1186" s="408"/>
      <c r="M1186" s="408"/>
      <c r="N1186" s="408"/>
      <c r="O1186" s="408"/>
      <c r="P1186" s="408"/>
      <c r="Q1186" s="408"/>
      <c r="R1186" s="408"/>
      <c r="S1186" s="408"/>
      <c r="T1186" s="408"/>
      <c r="U1186" s="408"/>
      <c r="V1186" s="23"/>
    </row>
    <row r="1187" spans="1:32" s="16" customFormat="1" ht="21.75" customHeight="1" x14ac:dyDescent="0.2">
      <c r="A1187" s="11"/>
      <c r="B1187" s="125"/>
      <c r="C1187" s="408" t="s">
        <v>463</v>
      </c>
      <c r="D1187" s="408"/>
      <c r="E1187" s="408"/>
      <c r="F1187" s="408"/>
      <c r="G1187" s="408"/>
      <c r="H1187" s="408"/>
      <c r="I1187" s="408"/>
      <c r="J1187" s="408"/>
      <c r="K1187" s="408"/>
      <c r="L1187" s="408"/>
      <c r="M1187" s="408"/>
      <c r="N1187" s="408"/>
      <c r="O1187" s="408"/>
      <c r="P1187" s="408"/>
      <c r="Q1187" s="408"/>
      <c r="R1187" s="408"/>
      <c r="S1187" s="408"/>
      <c r="T1187" s="408"/>
      <c r="U1187" s="408"/>
      <c r="V1187" s="23"/>
    </row>
    <row r="1188" spans="1:32" s="16" customFormat="1" ht="21.75" customHeight="1" x14ac:dyDescent="0.2">
      <c r="A1188" s="11"/>
      <c r="B1188" s="125"/>
      <c r="C1188" s="37"/>
      <c r="D1188" s="37"/>
      <c r="E1188" s="37"/>
      <c r="F1188" s="37"/>
      <c r="G1188" s="37"/>
      <c r="H1188" s="37"/>
      <c r="I1188" s="37"/>
      <c r="J1188" s="37"/>
      <c r="K1188" s="37"/>
      <c r="L1188" s="37"/>
      <c r="M1188" s="37"/>
      <c r="N1188" s="37"/>
      <c r="O1188" s="37"/>
      <c r="P1188" s="37"/>
      <c r="Q1188" s="37"/>
      <c r="R1188" s="37"/>
      <c r="S1188" s="37"/>
      <c r="T1188" s="37"/>
      <c r="U1188" s="37"/>
      <c r="V1188" s="23"/>
    </row>
    <row r="1189" spans="1:32" s="16" customFormat="1" ht="21" customHeight="1" x14ac:dyDescent="0.2">
      <c r="A1189" s="11"/>
      <c r="B1189" s="125"/>
      <c r="C1189" s="408" t="str">
        <f>"Mutasi Kredit Rp. "&amp;FIXED(I1183+O1183)&amp;"."</f>
        <v>Mutasi Kredit Rp. 0,00.</v>
      </c>
      <c r="D1189" s="408"/>
      <c r="E1189" s="408"/>
      <c r="F1189" s="408"/>
      <c r="G1189" s="408"/>
      <c r="H1189" s="408"/>
      <c r="I1189" s="408"/>
      <c r="J1189" s="408"/>
      <c r="K1189" s="408"/>
      <c r="L1189" s="408"/>
      <c r="M1189" s="408"/>
      <c r="N1189" s="408"/>
      <c r="O1189" s="408"/>
      <c r="P1189" s="408"/>
      <c r="Q1189" s="408"/>
      <c r="R1189" s="408"/>
      <c r="S1189" s="408"/>
      <c r="T1189" s="408"/>
      <c r="U1189" s="408"/>
      <c r="V1189" s="23"/>
    </row>
    <row r="1190" spans="1:32" s="16" customFormat="1" ht="15" customHeight="1" x14ac:dyDescent="0.2">
      <c r="A1190" s="11"/>
      <c r="B1190" s="103"/>
      <c r="C1190" s="97"/>
      <c r="D1190" s="97"/>
      <c r="E1190" s="97"/>
      <c r="F1190" s="97"/>
      <c r="G1190" s="97"/>
      <c r="H1190" s="97"/>
      <c r="I1190" s="97"/>
      <c r="J1190" s="97"/>
      <c r="K1190" s="97"/>
      <c r="L1190" s="97"/>
      <c r="M1190" s="97"/>
      <c r="N1190" s="134"/>
      <c r="O1190" s="134"/>
      <c r="P1190" s="134"/>
      <c r="Q1190" s="134"/>
      <c r="R1190" s="134"/>
      <c r="S1190" s="134"/>
      <c r="T1190" s="134"/>
      <c r="U1190" s="134"/>
      <c r="V1190" s="23"/>
    </row>
    <row r="1191" spans="1:32" s="16" customFormat="1" ht="15" customHeight="1" x14ac:dyDescent="0.2">
      <c r="A1191" s="11"/>
      <c r="B1191" s="202" t="s">
        <v>156</v>
      </c>
      <c r="C1191" s="402" t="str">
        <f>'[1]4.NERACA'!C104</f>
        <v>Tugu Peringatan</v>
      </c>
      <c r="D1191" s="402"/>
      <c r="E1191" s="402"/>
      <c r="F1191" s="402"/>
      <c r="G1191" s="402"/>
      <c r="H1191" s="402"/>
      <c r="I1191" s="402"/>
      <c r="J1191" s="402"/>
      <c r="K1191" s="402"/>
      <c r="L1191" s="402"/>
      <c r="M1191" s="402"/>
      <c r="N1191" s="402"/>
      <c r="O1191" s="402"/>
      <c r="P1191" s="402"/>
      <c r="Q1191" s="402"/>
      <c r="R1191" s="402"/>
      <c r="S1191" s="402"/>
      <c r="T1191" s="402"/>
      <c r="U1191" s="402"/>
      <c r="V1191" s="23"/>
    </row>
    <row r="1192" spans="1:32" s="16" customFormat="1" ht="66.75" customHeight="1" x14ac:dyDescent="0.2">
      <c r="A1192" s="11"/>
      <c r="C1192" s="407" t="str">
        <f>"Nilai aset tetap berupa "&amp;C1191&amp;"  per "&amp;'[1]2.ISIAN DATA SKPD'!D8&amp;" dan  "&amp;'[1]2.ISIAN DATA SKPD'!D12&amp;" adalah sebesar Rp. "&amp;FIXED(R1197)&amp;" dan Rp. "&amp;FIXED(B1197)&amp;" tidak mengalami kenaikan/penurunan sebesar Rp. "&amp;FIXED(AC1197)&amp;" atau sebesar "&amp;FIXED(Y1197)&amp;"% dari tahun "&amp;'[1]2.ISIAN DATA SKPD'!D12&amp;"."</f>
        <v>Nilai aset tetap berupa Tugu Peringatan  per 31 Desember 2018 dan  2017 adalah sebesar Rp. 114.650.376,00 dan Rp. 114.650.376,00 tidak mengalami kenaikan/penurunan sebesar Rp. 0,00 atau sebesar 0,00% dari tahun 2017.</v>
      </c>
      <c r="D1192" s="407"/>
      <c r="E1192" s="407"/>
      <c r="F1192" s="407"/>
      <c r="G1192" s="407"/>
      <c r="H1192" s="407"/>
      <c r="I1192" s="407"/>
      <c r="J1192" s="407"/>
      <c r="K1192" s="407"/>
      <c r="L1192" s="407"/>
      <c r="M1192" s="407"/>
      <c r="N1192" s="407"/>
      <c r="O1192" s="407"/>
      <c r="P1192" s="407"/>
      <c r="Q1192" s="407"/>
      <c r="R1192" s="407"/>
      <c r="S1192" s="407"/>
      <c r="T1192" s="407"/>
      <c r="U1192" s="407"/>
      <c r="V1192" s="23"/>
    </row>
    <row r="1193" spans="1:32" s="16" customFormat="1" ht="18" customHeight="1" x14ac:dyDescent="0.2">
      <c r="A1193" s="11"/>
      <c r="B1193" s="77"/>
      <c r="C1193" s="407" t="str">
        <f>"Dengan mutasi  selama tahun "&amp;'[1]2.ISIAN DATA SKPD'!D11&amp;" sebagai berikut :"</f>
        <v>Dengan mutasi  selama tahun 2018 sebagai berikut :</v>
      </c>
      <c r="D1193" s="407"/>
      <c r="E1193" s="407"/>
      <c r="F1193" s="407"/>
      <c r="G1193" s="407"/>
      <c r="H1193" s="407"/>
      <c r="I1193" s="407"/>
      <c r="J1193" s="407"/>
      <c r="K1193" s="407"/>
      <c r="L1193" s="407"/>
      <c r="M1193" s="407"/>
      <c r="N1193" s="407"/>
      <c r="O1193" s="407"/>
      <c r="P1193" s="407"/>
      <c r="Q1193" s="407"/>
      <c r="R1193" s="407"/>
      <c r="S1193" s="407"/>
      <c r="T1193" s="407"/>
      <c r="U1193" s="407"/>
      <c r="V1193" s="23"/>
    </row>
    <row r="1194" spans="1:32" s="16" customFormat="1" ht="18" customHeight="1" x14ac:dyDescent="0.2">
      <c r="A1194" s="11"/>
      <c r="B1194" s="77"/>
      <c r="C1194" s="77"/>
      <c r="D1194" s="77"/>
      <c r="E1194" s="77"/>
      <c r="F1194" s="77"/>
      <c r="G1194" s="77"/>
      <c r="H1194" s="77"/>
      <c r="I1194" s="77"/>
      <c r="J1194" s="77"/>
      <c r="K1194" s="77"/>
      <c r="L1194" s="77"/>
      <c r="M1194" s="77"/>
      <c r="N1194" s="77"/>
      <c r="O1194" s="77"/>
      <c r="P1194" s="77"/>
      <c r="Q1194" s="77"/>
      <c r="R1194" s="77"/>
      <c r="S1194" s="77"/>
      <c r="T1194" s="77"/>
      <c r="U1194" s="77"/>
      <c r="V1194" s="23"/>
    </row>
    <row r="1195" spans="1:32" s="16" customFormat="1" ht="15" customHeight="1" x14ac:dyDescent="0.2">
      <c r="A1195" s="567" t="s">
        <v>125</v>
      </c>
      <c r="B1195" s="600" t="s">
        <v>443</v>
      </c>
      <c r="C1195" s="600"/>
      <c r="D1195" s="600"/>
      <c r="E1195" s="600"/>
      <c r="F1195" s="605" t="s">
        <v>444</v>
      </c>
      <c r="G1195" s="605"/>
      <c r="H1195" s="605"/>
      <c r="I1195" s="605"/>
      <c r="J1195" s="605"/>
      <c r="K1195" s="605"/>
      <c r="L1195" s="605" t="s">
        <v>445</v>
      </c>
      <c r="M1195" s="605"/>
      <c r="N1195" s="605"/>
      <c r="O1195" s="605"/>
      <c r="P1195" s="605"/>
      <c r="Q1195" s="605"/>
      <c r="R1195" s="600" t="s">
        <v>446</v>
      </c>
      <c r="S1195" s="600"/>
      <c r="T1195" s="600"/>
      <c r="U1195" s="600"/>
      <c r="V1195" s="23"/>
    </row>
    <row r="1196" spans="1:32" s="16" customFormat="1" ht="15" customHeight="1" x14ac:dyDescent="0.2">
      <c r="A1196" s="568"/>
      <c r="B1196" s="732">
        <f>B1182</f>
        <v>2017</v>
      </c>
      <c r="C1196" s="600"/>
      <c r="D1196" s="600"/>
      <c r="E1196" s="600"/>
      <c r="F1196" s="600" t="s">
        <v>447</v>
      </c>
      <c r="G1196" s="600"/>
      <c r="H1196" s="600"/>
      <c r="I1196" s="599" t="s">
        <v>448</v>
      </c>
      <c r="J1196" s="599"/>
      <c r="K1196" s="599"/>
      <c r="L1196" s="600" t="s">
        <v>447</v>
      </c>
      <c r="M1196" s="600"/>
      <c r="N1196" s="600"/>
      <c r="O1196" s="601" t="s">
        <v>448</v>
      </c>
      <c r="P1196" s="601"/>
      <c r="Q1196" s="601"/>
      <c r="R1196" s="713">
        <f>R1182</f>
        <v>2018</v>
      </c>
      <c r="S1196" s="714"/>
      <c r="T1196" s="714"/>
      <c r="U1196" s="715"/>
      <c r="V1196" s="487"/>
      <c r="W1196" s="480"/>
      <c r="X1196" s="480"/>
      <c r="Y1196" s="471" t="s">
        <v>449</v>
      </c>
      <c r="Z1196" s="480"/>
      <c r="AA1196" s="480"/>
      <c r="AB1196" s="480"/>
      <c r="AC1196" s="488" t="s">
        <v>438</v>
      </c>
      <c r="AD1196" s="489"/>
      <c r="AE1196" s="489"/>
      <c r="AF1196" s="489"/>
    </row>
    <row r="1197" spans="1:32" s="16" customFormat="1" ht="27.75" customHeight="1" x14ac:dyDescent="0.2">
      <c r="A1197" s="217" t="str">
        <f>C1191</f>
        <v>Tugu Peringatan</v>
      </c>
      <c r="B1197" s="650">
        <f>'[1]4.NERACA'!D104</f>
        <v>114650376</v>
      </c>
      <c r="C1197" s="651"/>
      <c r="D1197" s="651"/>
      <c r="E1197" s="652"/>
      <c r="F1197" s="650">
        <f>'[1]4.NERACA'!E104</f>
        <v>0</v>
      </c>
      <c r="G1197" s="651"/>
      <c r="H1197" s="652"/>
      <c r="I1197" s="666">
        <f>'[1]4.NERACA'!F104</f>
        <v>0</v>
      </c>
      <c r="J1197" s="667"/>
      <c r="K1197" s="668"/>
      <c r="L1197" s="650">
        <f>'[1]4.NERACA'!G104</f>
        <v>0</v>
      </c>
      <c r="M1197" s="651"/>
      <c r="N1197" s="652"/>
      <c r="O1197" s="650">
        <f>'[1]4.NERACA'!H104</f>
        <v>0</v>
      </c>
      <c r="P1197" s="651"/>
      <c r="Q1197" s="652"/>
      <c r="R1197" s="650">
        <f>B1197+F1197-I1197+L1197-O1197</f>
        <v>114650376</v>
      </c>
      <c r="S1197" s="651"/>
      <c r="T1197" s="651"/>
      <c r="U1197" s="652"/>
      <c r="V1197" s="479"/>
      <c r="W1197" s="480"/>
      <c r="X1197" s="480"/>
      <c r="Y1197" s="471">
        <f>(R1197-B1197)/B1197*100</f>
        <v>0</v>
      </c>
      <c r="Z1197" s="480"/>
      <c r="AA1197" s="480"/>
      <c r="AB1197" s="480"/>
      <c r="AC1197" s="471">
        <f>R1197-B1197</f>
        <v>0</v>
      </c>
      <c r="AD1197" s="472"/>
      <c r="AE1197" s="472"/>
      <c r="AF1197" s="472"/>
    </row>
    <row r="1198" spans="1:32" s="16" customFormat="1" ht="15" customHeight="1" x14ac:dyDescent="0.2">
      <c r="A1198" s="11"/>
      <c r="B1198" s="408" t="s">
        <v>461</v>
      </c>
      <c r="C1198" s="408"/>
      <c r="D1198" s="408"/>
      <c r="E1198" s="408"/>
      <c r="F1198" s="408"/>
      <c r="G1198" s="408"/>
      <c r="H1198" s="408"/>
      <c r="I1198" s="408"/>
      <c r="J1198" s="408"/>
      <c r="K1198" s="408"/>
      <c r="L1198" s="408"/>
      <c r="M1198" s="408"/>
      <c r="N1198" s="408"/>
      <c r="O1198" s="408"/>
      <c r="P1198" s="408"/>
      <c r="Q1198" s="408"/>
      <c r="R1198" s="408"/>
      <c r="S1198" s="408"/>
      <c r="T1198" s="408"/>
      <c r="U1198" s="408"/>
      <c r="V1198" s="23"/>
    </row>
    <row r="1199" spans="1:32" s="16" customFormat="1" ht="15" customHeight="1" x14ac:dyDescent="0.2">
      <c r="A1199" s="11"/>
      <c r="B1199" s="125"/>
      <c r="C1199" s="408" t="s">
        <v>462</v>
      </c>
      <c r="D1199" s="408"/>
      <c r="E1199" s="408"/>
      <c r="F1199" s="408"/>
      <c r="G1199" s="408"/>
      <c r="H1199" s="408"/>
      <c r="I1199" s="408"/>
      <c r="J1199" s="408"/>
      <c r="K1199" s="408"/>
      <c r="L1199" s="408"/>
      <c r="M1199" s="408"/>
      <c r="N1199" s="408"/>
      <c r="O1199" s="408"/>
      <c r="P1199" s="408"/>
      <c r="Q1199" s="408"/>
      <c r="R1199" s="408"/>
      <c r="S1199" s="408"/>
      <c r="T1199" s="408"/>
      <c r="U1199" s="408"/>
      <c r="V1199" s="23"/>
    </row>
    <row r="1200" spans="1:32" s="16" customFormat="1" ht="20.25" customHeight="1" x14ac:dyDescent="0.2">
      <c r="A1200" s="11"/>
      <c r="B1200" s="125"/>
      <c r="C1200" s="408" t="str">
        <f>"Mutasi Debet sebesar Rp. "&amp;FIXED(F1197+L1197)&amp;"."</f>
        <v>Mutasi Debet sebesar Rp. 0,00.</v>
      </c>
      <c r="D1200" s="408"/>
      <c r="E1200" s="408"/>
      <c r="F1200" s="408"/>
      <c r="G1200" s="408"/>
      <c r="H1200" s="408"/>
      <c r="I1200" s="408"/>
      <c r="J1200" s="408"/>
      <c r="K1200" s="408"/>
      <c r="L1200" s="408"/>
      <c r="M1200" s="408"/>
      <c r="N1200" s="408"/>
      <c r="O1200" s="408"/>
      <c r="P1200" s="408"/>
      <c r="Q1200" s="408"/>
      <c r="R1200" s="408"/>
      <c r="S1200" s="408"/>
      <c r="T1200" s="408"/>
      <c r="U1200" s="408"/>
      <c r="V1200" s="23"/>
    </row>
    <row r="1201" spans="1:32" s="16" customFormat="1" ht="15" customHeight="1" x14ac:dyDescent="0.2">
      <c r="A1201" s="11"/>
      <c r="B1201" s="125"/>
      <c r="C1201" s="408" t="s">
        <v>463</v>
      </c>
      <c r="D1201" s="408"/>
      <c r="E1201" s="408"/>
      <c r="F1201" s="408"/>
      <c r="G1201" s="408"/>
      <c r="H1201" s="408"/>
      <c r="I1201" s="408"/>
      <c r="J1201" s="408"/>
      <c r="K1201" s="408"/>
      <c r="L1201" s="408"/>
      <c r="M1201" s="408"/>
      <c r="N1201" s="408"/>
      <c r="O1201" s="408"/>
      <c r="P1201" s="408"/>
      <c r="Q1201" s="408"/>
      <c r="R1201" s="408"/>
      <c r="S1201" s="408"/>
      <c r="T1201" s="408"/>
      <c r="U1201" s="408"/>
      <c r="V1201" s="23"/>
    </row>
    <row r="1202" spans="1:32" s="16" customFormat="1" ht="18.75" customHeight="1" x14ac:dyDescent="0.2">
      <c r="A1202" s="11"/>
      <c r="B1202" s="125"/>
      <c r="C1202" s="408" t="str">
        <f>"Mutasi Kredit Rp. "&amp;FIXED(I1197+O1197)&amp;"."</f>
        <v>Mutasi Kredit Rp. 0,00.</v>
      </c>
      <c r="D1202" s="408"/>
      <c r="E1202" s="408"/>
      <c r="F1202" s="408"/>
      <c r="G1202" s="408"/>
      <c r="H1202" s="408"/>
      <c r="I1202" s="408"/>
      <c r="J1202" s="408"/>
      <c r="K1202" s="408"/>
      <c r="L1202" s="408"/>
      <c r="M1202" s="408"/>
      <c r="N1202" s="408"/>
      <c r="O1202" s="408"/>
      <c r="P1202" s="408"/>
      <c r="Q1202" s="408"/>
      <c r="R1202" s="408"/>
      <c r="S1202" s="408"/>
      <c r="T1202" s="408"/>
      <c r="U1202" s="408"/>
      <c r="V1202" s="23"/>
    </row>
    <row r="1203" spans="1:32" s="16" customFormat="1" ht="15" customHeight="1" x14ac:dyDescent="0.2">
      <c r="A1203" s="11"/>
      <c r="B1203" s="203"/>
      <c r="C1203" s="37"/>
      <c r="D1203" s="37"/>
      <c r="E1203" s="37"/>
      <c r="F1203" s="37"/>
      <c r="G1203" s="37"/>
      <c r="H1203" s="37"/>
      <c r="I1203" s="37"/>
      <c r="J1203" s="37"/>
      <c r="K1203" s="37"/>
      <c r="L1203" s="37"/>
      <c r="M1203" s="37"/>
      <c r="N1203" s="37"/>
      <c r="O1203" s="37"/>
      <c r="P1203" s="37"/>
      <c r="Q1203" s="37"/>
      <c r="R1203" s="37"/>
      <c r="S1203" s="37"/>
      <c r="T1203" s="37"/>
      <c r="U1203" s="37"/>
      <c r="V1203" s="23"/>
    </row>
    <row r="1204" spans="1:32" s="16" customFormat="1" ht="15" customHeight="1" x14ac:dyDescent="0.2">
      <c r="A1204" s="11"/>
      <c r="B1204" s="202" t="s">
        <v>325</v>
      </c>
      <c r="C1204" s="402" t="str">
        <f>'[1]4.NERACA'!C105</f>
        <v>Candi</v>
      </c>
      <c r="D1204" s="402"/>
      <c r="E1204" s="402"/>
      <c r="F1204" s="402"/>
      <c r="G1204" s="402"/>
      <c r="H1204" s="402"/>
      <c r="I1204" s="402"/>
      <c r="J1204" s="402"/>
      <c r="K1204" s="402"/>
      <c r="L1204" s="402"/>
      <c r="M1204" s="402"/>
      <c r="N1204" s="402"/>
      <c r="O1204" s="402"/>
      <c r="P1204" s="402"/>
      <c r="Q1204" s="402"/>
      <c r="R1204" s="402"/>
      <c r="S1204" s="402"/>
      <c r="T1204" s="402"/>
      <c r="U1204" s="402"/>
      <c r="V1204" s="23"/>
    </row>
    <row r="1205" spans="1:32" s="16" customFormat="1" ht="63.75" customHeight="1" x14ac:dyDescent="0.2">
      <c r="A1205" s="11"/>
      <c r="C1205" s="407" t="str">
        <f>"Nilai aset tetap berupa "&amp;C1204&amp;"  per "&amp;'[1]2.ISIAN DATA SKPD'!D8&amp;" dan  "&amp;'[1]2.ISIAN DATA SKPD'!D12&amp;" adalah sebesar Rp. "&amp;FIXED(R1210)&amp;" dan Rp. "&amp;FIXED(B1210)&amp;" tidak mengalami kenaikan/penurunan sebesar Rp. "&amp;FIXED(AC1210)&amp;" atau sebesar "&amp;FIXED(Y1210)&amp;"% dari tahun "&amp;'[1]2.ISIAN DATA SKPD'!D12&amp;"."</f>
        <v>Nilai aset tetap berupa Candi  per 31 Desember 2018 dan  2017 adalah sebesar Rp. 0,00 dan Rp. 0,00 tidak mengalami kenaikan/penurunan sebesar Rp. 0,00 atau sebesar 0,00% dari tahun 2017.</v>
      </c>
      <c r="D1205" s="407"/>
      <c r="E1205" s="407"/>
      <c r="F1205" s="407"/>
      <c r="G1205" s="407"/>
      <c r="H1205" s="407"/>
      <c r="I1205" s="407"/>
      <c r="J1205" s="407"/>
      <c r="K1205" s="407"/>
      <c r="L1205" s="407"/>
      <c r="M1205" s="407"/>
      <c r="N1205" s="407"/>
      <c r="O1205" s="407"/>
      <c r="P1205" s="407"/>
      <c r="Q1205" s="407"/>
      <c r="R1205" s="407"/>
      <c r="S1205" s="407"/>
      <c r="T1205" s="407"/>
      <c r="U1205" s="407"/>
      <c r="V1205" s="23"/>
    </row>
    <row r="1206" spans="1:32" s="16" customFormat="1" ht="18.75" customHeight="1" x14ac:dyDescent="0.2">
      <c r="A1206" s="11"/>
      <c r="C1206" s="407" t="str">
        <f>"Dengan mutasi  selama tahun "&amp;'[1]2.ISIAN DATA SKPD'!D11&amp;" sebagai berikut :"</f>
        <v>Dengan mutasi  selama tahun 2018 sebagai berikut :</v>
      </c>
      <c r="D1206" s="407"/>
      <c r="E1206" s="407"/>
      <c r="F1206" s="407"/>
      <c r="G1206" s="407"/>
      <c r="H1206" s="407"/>
      <c r="I1206" s="407"/>
      <c r="J1206" s="407"/>
      <c r="K1206" s="407"/>
      <c r="L1206" s="407"/>
      <c r="M1206" s="407"/>
      <c r="N1206" s="407"/>
      <c r="O1206" s="407"/>
      <c r="P1206" s="407"/>
      <c r="Q1206" s="407"/>
      <c r="R1206" s="407"/>
      <c r="S1206" s="407"/>
      <c r="T1206" s="407"/>
      <c r="U1206" s="407"/>
      <c r="V1206" s="23"/>
    </row>
    <row r="1207" spans="1:32" s="16" customFormat="1" ht="18.75" customHeight="1" x14ac:dyDescent="0.2">
      <c r="A1207" s="11"/>
      <c r="C1207" s="77"/>
      <c r="D1207" s="77"/>
      <c r="E1207" s="77"/>
      <c r="F1207" s="77"/>
      <c r="G1207" s="77"/>
      <c r="H1207" s="77"/>
      <c r="I1207" s="77"/>
      <c r="J1207" s="77"/>
      <c r="K1207" s="77"/>
      <c r="L1207" s="77"/>
      <c r="M1207" s="77"/>
      <c r="N1207" s="77"/>
      <c r="O1207" s="77"/>
      <c r="P1207" s="77"/>
      <c r="Q1207" s="77"/>
      <c r="R1207" s="77"/>
      <c r="S1207" s="77"/>
      <c r="T1207" s="77"/>
      <c r="U1207" s="77"/>
      <c r="V1207" s="23"/>
    </row>
    <row r="1208" spans="1:32" s="16" customFormat="1" ht="15" customHeight="1" x14ac:dyDescent="0.2">
      <c r="A1208" s="567" t="s">
        <v>125</v>
      </c>
      <c r="B1208" s="600" t="s">
        <v>443</v>
      </c>
      <c r="C1208" s="600"/>
      <c r="D1208" s="600"/>
      <c r="E1208" s="600"/>
      <c r="F1208" s="605" t="s">
        <v>444</v>
      </c>
      <c r="G1208" s="605"/>
      <c r="H1208" s="605"/>
      <c r="I1208" s="605"/>
      <c r="J1208" s="605"/>
      <c r="K1208" s="605"/>
      <c r="L1208" s="605" t="s">
        <v>445</v>
      </c>
      <c r="M1208" s="605"/>
      <c r="N1208" s="605"/>
      <c r="O1208" s="605"/>
      <c r="P1208" s="605"/>
      <c r="Q1208" s="605"/>
      <c r="R1208" s="600" t="s">
        <v>446</v>
      </c>
      <c r="S1208" s="600"/>
      <c r="T1208" s="600"/>
      <c r="U1208" s="600"/>
      <c r="V1208" s="23"/>
    </row>
    <row r="1209" spans="1:32" s="16" customFormat="1" ht="15" customHeight="1" x14ac:dyDescent="0.2">
      <c r="A1209" s="568"/>
      <c r="B1209" s="732">
        <f>B1182</f>
        <v>2017</v>
      </c>
      <c r="C1209" s="600"/>
      <c r="D1209" s="600"/>
      <c r="E1209" s="600"/>
      <c r="F1209" s="600" t="s">
        <v>447</v>
      </c>
      <c r="G1209" s="600"/>
      <c r="H1209" s="600"/>
      <c r="I1209" s="599" t="s">
        <v>448</v>
      </c>
      <c r="J1209" s="599"/>
      <c r="K1209" s="599"/>
      <c r="L1209" s="600" t="s">
        <v>447</v>
      </c>
      <c r="M1209" s="600"/>
      <c r="N1209" s="600"/>
      <c r="O1209" s="601" t="s">
        <v>448</v>
      </c>
      <c r="P1209" s="601"/>
      <c r="Q1209" s="601"/>
      <c r="R1209" s="713">
        <f>R1182</f>
        <v>2018</v>
      </c>
      <c r="S1209" s="714"/>
      <c r="T1209" s="714"/>
      <c r="U1209" s="715"/>
      <c r="V1209" s="487"/>
      <c r="W1209" s="480"/>
      <c r="X1209" s="480"/>
      <c r="Y1209" s="471" t="s">
        <v>449</v>
      </c>
      <c r="Z1209" s="480"/>
      <c r="AA1209" s="480"/>
      <c r="AB1209" s="480"/>
      <c r="AC1209" s="488" t="s">
        <v>438</v>
      </c>
      <c r="AD1209" s="489"/>
      <c r="AE1209" s="489"/>
      <c r="AF1209" s="489"/>
    </row>
    <row r="1210" spans="1:32" s="16" customFormat="1" ht="15" customHeight="1" x14ac:dyDescent="0.2">
      <c r="A1210" s="200" t="str">
        <f>C1204</f>
        <v>Candi</v>
      </c>
      <c r="B1210" s="650">
        <f>'[1]4.NERACA'!D105</f>
        <v>0</v>
      </c>
      <c r="C1210" s="651"/>
      <c r="D1210" s="651"/>
      <c r="E1210" s="652"/>
      <c r="F1210" s="650">
        <f>'[1]4.NERACA'!E105</f>
        <v>0</v>
      </c>
      <c r="G1210" s="651"/>
      <c r="H1210" s="652"/>
      <c r="I1210" s="666">
        <f>'[1]4.NERACA'!F105</f>
        <v>0</v>
      </c>
      <c r="J1210" s="667"/>
      <c r="K1210" s="668"/>
      <c r="L1210" s="650">
        <f>'[1]4.NERACA'!G105</f>
        <v>0</v>
      </c>
      <c r="M1210" s="651"/>
      <c r="N1210" s="652"/>
      <c r="O1210" s="650">
        <f>'[1]4.NERACA'!H105</f>
        <v>0</v>
      </c>
      <c r="P1210" s="651"/>
      <c r="Q1210" s="652"/>
      <c r="R1210" s="650">
        <f>B1210+F1210-I1210+L1210-O1210</f>
        <v>0</v>
      </c>
      <c r="S1210" s="651"/>
      <c r="T1210" s="651"/>
      <c r="U1210" s="652"/>
      <c r="V1210" s="479"/>
      <c r="W1210" s="480"/>
      <c r="X1210" s="480"/>
      <c r="Y1210" s="471">
        <v>0</v>
      </c>
      <c r="Z1210" s="480"/>
      <c r="AA1210" s="480"/>
      <c r="AB1210" s="480"/>
      <c r="AC1210" s="471">
        <f>R1210-B1210</f>
        <v>0</v>
      </c>
      <c r="AD1210" s="472"/>
      <c r="AE1210" s="472"/>
      <c r="AF1210" s="472"/>
    </row>
    <row r="1211" spans="1:32" s="16" customFormat="1" ht="15" customHeight="1" x14ac:dyDescent="0.2">
      <c r="A1211" s="11"/>
      <c r="B1211" s="408" t="s">
        <v>461</v>
      </c>
      <c r="C1211" s="408"/>
      <c r="D1211" s="408"/>
      <c r="E1211" s="408"/>
      <c r="F1211" s="408"/>
      <c r="G1211" s="408"/>
      <c r="H1211" s="408"/>
      <c r="I1211" s="408"/>
      <c r="J1211" s="408"/>
      <c r="K1211" s="408"/>
      <c r="L1211" s="408"/>
      <c r="M1211" s="408"/>
      <c r="N1211" s="408"/>
      <c r="O1211" s="408"/>
      <c r="P1211" s="408"/>
      <c r="Q1211" s="408"/>
      <c r="R1211" s="408"/>
      <c r="S1211" s="408"/>
      <c r="T1211" s="408"/>
      <c r="U1211" s="408"/>
      <c r="V1211" s="23"/>
    </row>
    <row r="1212" spans="1:32" s="16" customFormat="1" ht="15" customHeight="1" x14ac:dyDescent="0.2">
      <c r="A1212" s="11"/>
      <c r="B1212" s="125"/>
      <c r="C1212" s="408" t="s">
        <v>462</v>
      </c>
      <c r="D1212" s="408"/>
      <c r="E1212" s="408"/>
      <c r="F1212" s="408"/>
      <c r="G1212" s="408"/>
      <c r="H1212" s="408"/>
      <c r="I1212" s="408"/>
      <c r="J1212" s="408"/>
      <c r="K1212" s="408"/>
      <c r="L1212" s="408"/>
      <c r="M1212" s="408"/>
      <c r="N1212" s="408"/>
      <c r="O1212" s="408"/>
      <c r="P1212" s="408"/>
      <c r="Q1212" s="408"/>
      <c r="R1212" s="408"/>
      <c r="S1212" s="408"/>
      <c r="T1212" s="408"/>
      <c r="U1212" s="408"/>
      <c r="V1212" s="23"/>
    </row>
    <row r="1213" spans="1:32" s="16" customFormat="1" ht="21" customHeight="1" x14ac:dyDescent="0.2">
      <c r="A1213" s="11"/>
      <c r="B1213" s="125"/>
      <c r="C1213" s="408" t="str">
        <f>"Mutasi Debet sebesar Rp. "&amp;FIXED(F1210+L1210)&amp;"."</f>
        <v>Mutasi Debet sebesar Rp. 0,00.</v>
      </c>
      <c r="D1213" s="408"/>
      <c r="E1213" s="408"/>
      <c r="F1213" s="408"/>
      <c r="G1213" s="408"/>
      <c r="H1213" s="408"/>
      <c r="I1213" s="408"/>
      <c r="J1213" s="408"/>
      <c r="K1213" s="408"/>
      <c r="L1213" s="408"/>
      <c r="M1213" s="408"/>
      <c r="N1213" s="408"/>
      <c r="O1213" s="408"/>
      <c r="P1213" s="408"/>
      <c r="Q1213" s="408"/>
      <c r="R1213" s="408"/>
      <c r="S1213" s="408"/>
      <c r="T1213" s="408"/>
      <c r="U1213" s="408"/>
      <c r="V1213" s="23"/>
    </row>
    <row r="1214" spans="1:32" s="16" customFormat="1" ht="15" customHeight="1" x14ac:dyDescent="0.2">
      <c r="A1214" s="11"/>
      <c r="B1214" s="125"/>
      <c r="C1214" s="408" t="s">
        <v>463</v>
      </c>
      <c r="D1214" s="408"/>
      <c r="E1214" s="408"/>
      <c r="F1214" s="408"/>
      <c r="G1214" s="408"/>
      <c r="H1214" s="408"/>
      <c r="I1214" s="408"/>
      <c r="J1214" s="408"/>
      <c r="K1214" s="408"/>
      <c r="L1214" s="408"/>
      <c r="M1214" s="408"/>
      <c r="N1214" s="408"/>
      <c r="O1214" s="408"/>
      <c r="P1214" s="408"/>
      <c r="Q1214" s="408"/>
      <c r="R1214" s="408"/>
      <c r="S1214" s="408"/>
      <c r="T1214" s="408"/>
      <c r="U1214" s="408"/>
      <c r="V1214" s="23"/>
    </row>
    <row r="1215" spans="1:32" s="16" customFormat="1" ht="20.25" customHeight="1" x14ac:dyDescent="0.2">
      <c r="A1215" s="11"/>
      <c r="B1215" s="125"/>
      <c r="C1215" s="408" t="str">
        <f>"Mutasi Kredit Rp. "&amp;FIXED(I1210+O1210)&amp;"."</f>
        <v>Mutasi Kredit Rp. 0,00.</v>
      </c>
      <c r="D1215" s="408"/>
      <c r="E1215" s="408"/>
      <c r="F1215" s="408"/>
      <c r="G1215" s="408"/>
      <c r="H1215" s="408"/>
      <c r="I1215" s="408"/>
      <c r="J1215" s="408"/>
      <c r="K1215" s="408"/>
      <c r="L1215" s="408"/>
      <c r="M1215" s="408"/>
      <c r="N1215" s="408"/>
      <c r="O1215" s="408"/>
      <c r="P1215" s="408"/>
      <c r="Q1215" s="408"/>
      <c r="R1215" s="408"/>
      <c r="S1215" s="408"/>
      <c r="T1215" s="408"/>
      <c r="U1215" s="408"/>
      <c r="V1215" s="23"/>
    </row>
    <row r="1216" spans="1:32" s="16" customFormat="1" ht="15" customHeight="1" x14ac:dyDescent="0.2">
      <c r="A1216" s="11"/>
      <c r="B1216" s="203"/>
      <c r="C1216" s="37"/>
      <c r="D1216" s="37"/>
      <c r="E1216" s="37"/>
      <c r="F1216" s="37"/>
      <c r="G1216" s="37"/>
      <c r="H1216" s="37"/>
      <c r="I1216" s="37"/>
      <c r="J1216" s="37"/>
      <c r="K1216" s="37"/>
      <c r="L1216" s="37"/>
      <c r="M1216" s="37"/>
      <c r="N1216" s="37"/>
      <c r="O1216" s="37"/>
      <c r="P1216" s="37"/>
      <c r="Q1216" s="37"/>
      <c r="R1216" s="37"/>
      <c r="S1216" s="37"/>
      <c r="T1216" s="37"/>
      <c r="U1216" s="37"/>
      <c r="V1216" s="23"/>
    </row>
    <row r="1217" spans="1:32" s="16" customFormat="1" ht="15" customHeight="1" x14ac:dyDescent="0.2">
      <c r="A1217" s="11"/>
      <c r="B1217" s="202" t="s">
        <v>467</v>
      </c>
      <c r="C1217" s="402" t="str">
        <f>'[1]4.NERACA'!C106</f>
        <v>Monumen/Bangunan Bersejarah</v>
      </c>
      <c r="D1217" s="402"/>
      <c r="E1217" s="402"/>
      <c r="F1217" s="402"/>
      <c r="G1217" s="402"/>
      <c r="H1217" s="402"/>
      <c r="I1217" s="402"/>
      <c r="J1217" s="402"/>
      <c r="K1217" s="402"/>
      <c r="L1217" s="402"/>
      <c r="M1217" s="402"/>
      <c r="N1217" s="402"/>
      <c r="O1217" s="402"/>
      <c r="P1217" s="402"/>
      <c r="Q1217" s="402"/>
      <c r="R1217" s="402"/>
      <c r="S1217" s="402"/>
      <c r="T1217" s="402"/>
      <c r="U1217" s="402"/>
      <c r="V1217" s="23"/>
    </row>
    <row r="1218" spans="1:32" s="16" customFormat="1" ht="63" customHeight="1" x14ac:dyDescent="0.2">
      <c r="A1218" s="11"/>
      <c r="C1218" s="407" t="str">
        <f>"Nilai aset tetap berupa "&amp;C1217&amp;"  per "&amp;'[1]2.ISIAN DATA SKPD'!D8&amp;" dan  "&amp;'[1]2.ISIAN DATA SKPD'!D12&amp;" adalah sebesar Rp. "&amp;FIXED(R1226)&amp;" dan Rp. "&amp;FIXED(B1226)&amp;" tidak mengalami kenaikan dan penurunan sebesar Rp. "&amp;FIXED(AC1226)&amp;" atau sebesar "&amp;FIXED(Y1226)&amp;"% dari tahun "&amp;'[1]2.ISIAN DATA SKPD'!D12&amp;"."</f>
        <v>Nilai aset tetap berupa Monumen/Bangunan Bersejarah  per 31 Desember 2018 dan  2017 adalah sebesar Rp. 0,00 dan Rp. 0,00 tidak mengalami kenaikan dan penurunan sebesar Rp. 0,00 atau sebesar 0,00% dari tahun 2017.</v>
      </c>
      <c r="D1218" s="407"/>
      <c r="E1218" s="407"/>
      <c r="F1218" s="407"/>
      <c r="G1218" s="407"/>
      <c r="H1218" s="407"/>
      <c r="I1218" s="407"/>
      <c r="J1218" s="407"/>
      <c r="K1218" s="407"/>
      <c r="L1218" s="407"/>
      <c r="M1218" s="407"/>
      <c r="N1218" s="407"/>
      <c r="O1218" s="407"/>
      <c r="P1218" s="407"/>
      <c r="Q1218" s="407"/>
      <c r="R1218" s="407"/>
      <c r="S1218" s="407"/>
      <c r="T1218" s="407"/>
      <c r="U1218" s="407"/>
      <c r="V1218" s="23"/>
    </row>
    <row r="1219" spans="1:32" s="16" customFormat="1" ht="63" customHeight="1" x14ac:dyDescent="0.2">
      <c r="A1219" s="11"/>
      <c r="C1219" s="77"/>
      <c r="D1219" s="77"/>
      <c r="E1219" s="77"/>
      <c r="F1219" s="77"/>
      <c r="G1219" s="77"/>
      <c r="H1219" s="77"/>
      <c r="I1219" s="77"/>
      <c r="J1219" s="77"/>
      <c r="K1219" s="77"/>
      <c r="L1219" s="77"/>
      <c r="M1219" s="77"/>
      <c r="N1219" s="77"/>
      <c r="O1219" s="77"/>
      <c r="P1219" s="77"/>
      <c r="Q1219" s="77"/>
      <c r="R1219" s="77"/>
      <c r="S1219" s="77"/>
      <c r="T1219" s="77"/>
      <c r="U1219" s="77"/>
      <c r="V1219" s="23"/>
    </row>
    <row r="1220" spans="1:32" s="16" customFormat="1" ht="21.75" customHeight="1" x14ac:dyDescent="0.2">
      <c r="A1220" s="11"/>
      <c r="C1220" s="77"/>
      <c r="D1220" s="77"/>
      <c r="E1220" s="77"/>
      <c r="F1220" s="77"/>
      <c r="G1220" s="77"/>
      <c r="H1220" s="77"/>
      <c r="I1220" s="77"/>
      <c r="J1220" s="77"/>
      <c r="K1220" s="77"/>
      <c r="L1220" s="77"/>
      <c r="M1220" s="77"/>
      <c r="N1220" s="77"/>
      <c r="O1220" s="77"/>
      <c r="P1220" s="77"/>
      <c r="Q1220" s="77"/>
      <c r="R1220" s="77"/>
      <c r="S1220" s="77"/>
      <c r="T1220" s="77"/>
      <c r="U1220" s="77"/>
      <c r="V1220" s="23"/>
    </row>
    <row r="1221" spans="1:32" s="16" customFormat="1" ht="28.5" customHeight="1" x14ac:dyDescent="0.2">
      <c r="A1221" s="11"/>
      <c r="C1221" s="77"/>
      <c r="D1221" s="77"/>
      <c r="E1221" s="77"/>
      <c r="F1221" s="77"/>
      <c r="G1221" s="77"/>
      <c r="H1221" s="77"/>
      <c r="I1221" s="77"/>
      <c r="J1221" s="77"/>
      <c r="K1221" s="77"/>
      <c r="L1221" s="77"/>
      <c r="M1221" s="77"/>
      <c r="N1221" s="77"/>
      <c r="O1221" s="77"/>
      <c r="P1221" s="77"/>
      <c r="Q1221" s="77"/>
      <c r="R1221" s="77"/>
      <c r="S1221" s="77"/>
      <c r="T1221" s="77"/>
      <c r="U1221" s="77"/>
      <c r="V1221" s="23"/>
    </row>
    <row r="1222" spans="1:32" s="16" customFormat="1" ht="18.75" customHeight="1" x14ac:dyDescent="0.2">
      <c r="A1222" s="11"/>
      <c r="B1222" s="77"/>
      <c r="C1222" s="407" t="str">
        <f>"Dengan mutasi  selama tahun "&amp;'[1]2.ISIAN DATA SKPD'!D11&amp;" sebagai berikut :"</f>
        <v>Dengan mutasi  selama tahun 2018 sebagai berikut :</v>
      </c>
      <c r="D1222" s="407"/>
      <c r="E1222" s="407"/>
      <c r="F1222" s="407"/>
      <c r="G1222" s="407"/>
      <c r="H1222" s="407"/>
      <c r="I1222" s="407"/>
      <c r="J1222" s="407"/>
      <c r="K1222" s="407"/>
      <c r="L1222" s="407"/>
      <c r="M1222" s="407"/>
      <c r="N1222" s="407"/>
      <c r="O1222" s="407"/>
      <c r="P1222" s="407"/>
      <c r="Q1222" s="407"/>
      <c r="R1222" s="407"/>
      <c r="S1222" s="407"/>
      <c r="T1222" s="407"/>
      <c r="U1222" s="407"/>
      <c r="V1222" s="23"/>
    </row>
    <row r="1223" spans="1:32" s="16" customFormat="1" ht="18.75" customHeight="1" x14ac:dyDescent="0.2">
      <c r="A1223" s="11"/>
      <c r="B1223" s="77"/>
      <c r="C1223" s="77"/>
      <c r="D1223" s="77"/>
      <c r="E1223" s="77"/>
      <c r="F1223" s="77"/>
      <c r="G1223" s="77"/>
      <c r="H1223" s="77"/>
      <c r="I1223" s="77"/>
      <c r="J1223" s="77"/>
      <c r="K1223" s="77"/>
      <c r="L1223" s="77"/>
      <c r="M1223" s="77"/>
      <c r="N1223" s="77"/>
      <c r="O1223" s="77"/>
      <c r="P1223" s="77"/>
      <c r="Q1223" s="77"/>
      <c r="R1223" s="77"/>
      <c r="S1223" s="77"/>
      <c r="T1223" s="77"/>
      <c r="U1223" s="77"/>
      <c r="V1223" s="23"/>
    </row>
    <row r="1224" spans="1:32" s="16" customFormat="1" ht="15" customHeight="1" x14ac:dyDescent="0.2">
      <c r="A1224" s="567" t="s">
        <v>125</v>
      </c>
      <c r="B1224" s="600" t="s">
        <v>443</v>
      </c>
      <c r="C1224" s="600"/>
      <c r="D1224" s="600"/>
      <c r="E1224" s="600"/>
      <c r="F1224" s="605" t="s">
        <v>444</v>
      </c>
      <c r="G1224" s="605"/>
      <c r="H1224" s="605"/>
      <c r="I1224" s="605"/>
      <c r="J1224" s="605"/>
      <c r="K1224" s="605"/>
      <c r="L1224" s="605" t="s">
        <v>445</v>
      </c>
      <c r="M1224" s="605"/>
      <c r="N1224" s="605"/>
      <c r="O1224" s="605"/>
      <c r="P1224" s="605"/>
      <c r="Q1224" s="605"/>
      <c r="R1224" s="600" t="s">
        <v>446</v>
      </c>
      <c r="S1224" s="600"/>
      <c r="T1224" s="600"/>
      <c r="U1224" s="600"/>
      <c r="V1224" s="23"/>
    </row>
    <row r="1225" spans="1:32" s="16" customFormat="1" ht="15" customHeight="1" x14ac:dyDescent="0.2">
      <c r="A1225" s="568"/>
      <c r="B1225" s="732">
        <f>B1209</f>
        <v>2017</v>
      </c>
      <c r="C1225" s="600"/>
      <c r="D1225" s="600"/>
      <c r="E1225" s="600"/>
      <c r="F1225" s="600" t="s">
        <v>447</v>
      </c>
      <c r="G1225" s="600"/>
      <c r="H1225" s="600"/>
      <c r="I1225" s="599" t="s">
        <v>448</v>
      </c>
      <c r="J1225" s="599"/>
      <c r="K1225" s="599"/>
      <c r="L1225" s="600" t="s">
        <v>447</v>
      </c>
      <c r="M1225" s="600"/>
      <c r="N1225" s="600"/>
      <c r="O1225" s="601" t="s">
        <v>448</v>
      </c>
      <c r="P1225" s="601"/>
      <c r="Q1225" s="601"/>
      <c r="R1225" s="713">
        <f>R1209</f>
        <v>2018</v>
      </c>
      <c r="S1225" s="714"/>
      <c r="T1225" s="714"/>
      <c r="U1225" s="715"/>
      <c r="V1225" s="487"/>
      <c r="W1225" s="480"/>
      <c r="X1225" s="480"/>
      <c r="Y1225" s="471" t="s">
        <v>449</v>
      </c>
      <c r="Z1225" s="480"/>
      <c r="AA1225" s="480"/>
      <c r="AB1225" s="480"/>
      <c r="AC1225" s="488" t="s">
        <v>438</v>
      </c>
      <c r="AD1225" s="489"/>
      <c r="AE1225" s="489"/>
      <c r="AF1225" s="489"/>
    </row>
    <row r="1226" spans="1:32" s="16" customFormat="1" ht="39.75" customHeight="1" x14ac:dyDescent="0.2">
      <c r="A1226" s="220" t="str">
        <f>C1217</f>
        <v>Monumen/Bangunan Bersejarah</v>
      </c>
      <c r="B1226" s="650">
        <f>'[1]4.NERACA'!D106</f>
        <v>0</v>
      </c>
      <c r="C1226" s="651"/>
      <c r="D1226" s="651"/>
      <c r="E1226" s="652"/>
      <c r="F1226" s="650">
        <f>'[1]4.NERACA'!E106</f>
        <v>0</v>
      </c>
      <c r="G1226" s="651"/>
      <c r="H1226" s="652"/>
      <c r="I1226" s="666">
        <f>'[1]4.NERACA'!F106</f>
        <v>0</v>
      </c>
      <c r="J1226" s="667"/>
      <c r="K1226" s="668"/>
      <c r="L1226" s="650">
        <f>'[1]4.NERACA'!G106</f>
        <v>0</v>
      </c>
      <c r="M1226" s="651"/>
      <c r="N1226" s="652"/>
      <c r="O1226" s="650">
        <f>'[1]4.NERACA'!H106</f>
        <v>0</v>
      </c>
      <c r="P1226" s="651"/>
      <c r="Q1226" s="652"/>
      <c r="R1226" s="650">
        <f>B1226+F1226-I1226+L1226-O1226</f>
        <v>0</v>
      </c>
      <c r="S1226" s="651"/>
      <c r="T1226" s="651"/>
      <c r="U1226" s="652"/>
      <c r="V1226" s="479"/>
      <c r="W1226" s="480"/>
      <c r="X1226" s="480"/>
      <c r="Y1226" s="471">
        <v>0</v>
      </c>
      <c r="Z1226" s="480"/>
      <c r="AA1226" s="480"/>
      <c r="AB1226" s="480"/>
      <c r="AC1226" s="471">
        <f>R1226-B1226</f>
        <v>0</v>
      </c>
      <c r="AD1226" s="472"/>
      <c r="AE1226" s="472"/>
      <c r="AF1226" s="472"/>
    </row>
    <row r="1227" spans="1:32" s="16" customFormat="1" ht="15" customHeight="1" x14ac:dyDescent="0.2">
      <c r="A1227" s="11"/>
      <c r="B1227" s="408" t="s">
        <v>461</v>
      </c>
      <c r="C1227" s="408"/>
      <c r="D1227" s="408"/>
      <c r="E1227" s="408"/>
      <c r="F1227" s="408"/>
      <c r="G1227" s="408"/>
      <c r="H1227" s="408"/>
      <c r="I1227" s="408"/>
      <c r="J1227" s="408"/>
      <c r="K1227" s="408"/>
      <c r="L1227" s="408"/>
      <c r="M1227" s="408"/>
      <c r="N1227" s="408"/>
      <c r="O1227" s="408"/>
      <c r="P1227" s="408"/>
      <c r="Q1227" s="408"/>
      <c r="R1227" s="408"/>
      <c r="S1227" s="408"/>
      <c r="T1227" s="408"/>
      <c r="U1227" s="408"/>
      <c r="V1227" s="23"/>
    </row>
    <row r="1228" spans="1:32" s="16" customFormat="1" ht="15" customHeight="1" x14ac:dyDescent="0.2">
      <c r="A1228" s="11"/>
      <c r="B1228" s="125"/>
      <c r="C1228" s="408" t="s">
        <v>462</v>
      </c>
      <c r="D1228" s="408"/>
      <c r="E1228" s="408"/>
      <c r="F1228" s="408"/>
      <c r="G1228" s="408"/>
      <c r="H1228" s="408"/>
      <c r="I1228" s="408"/>
      <c r="J1228" s="408"/>
      <c r="K1228" s="408"/>
      <c r="L1228" s="408"/>
      <c r="M1228" s="408"/>
      <c r="N1228" s="408"/>
      <c r="O1228" s="408"/>
      <c r="P1228" s="408"/>
      <c r="Q1228" s="408"/>
      <c r="R1228" s="408"/>
      <c r="S1228" s="408"/>
      <c r="T1228" s="408"/>
      <c r="U1228" s="408"/>
      <c r="V1228" s="23"/>
    </row>
    <row r="1229" spans="1:32" s="16" customFormat="1" ht="19.5" customHeight="1" x14ac:dyDescent="0.2">
      <c r="A1229" s="11"/>
      <c r="B1229" s="125"/>
      <c r="C1229" s="408" t="str">
        <f>"Mutasi Debet sebesar Rp. "&amp;FIXED(F1226+L1226)&amp;"."</f>
        <v>Mutasi Debet sebesar Rp. 0,00.</v>
      </c>
      <c r="D1229" s="408"/>
      <c r="E1229" s="408"/>
      <c r="F1229" s="408"/>
      <c r="G1229" s="408"/>
      <c r="H1229" s="408"/>
      <c r="I1229" s="408"/>
      <c r="J1229" s="408"/>
      <c r="K1229" s="408"/>
      <c r="L1229" s="408"/>
      <c r="M1229" s="408"/>
      <c r="N1229" s="408"/>
      <c r="O1229" s="408"/>
      <c r="P1229" s="408"/>
      <c r="Q1229" s="408"/>
      <c r="R1229" s="408"/>
      <c r="S1229" s="408"/>
      <c r="T1229" s="408"/>
      <c r="U1229" s="408"/>
      <c r="V1229" s="23"/>
    </row>
    <row r="1230" spans="1:32" s="16" customFormat="1" ht="15" customHeight="1" x14ac:dyDescent="0.2">
      <c r="A1230" s="11"/>
      <c r="B1230" s="125"/>
      <c r="C1230" s="408" t="s">
        <v>463</v>
      </c>
      <c r="D1230" s="408"/>
      <c r="E1230" s="408"/>
      <c r="F1230" s="408"/>
      <c r="G1230" s="408"/>
      <c r="H1230" s="408"/>
      <c r="I1230" s="408"/>
      <c r="J1230" s="408"/>
      <c r="K1230" s="408"/>
      <c r="L1230" s="408"/>
      <c r="M1230" s="408"/>
      <c r="N1230" s="408"/>
      <c r="O1230" s="408"/>
      <c r="P1230" s="408"/>
      <c r="Q1230" s="408"/>
      <c r="R1230" s="408"/>
      <c r="S1230" s="408"/>
      <c r="T1230" s="408"/>
      <c r="U1230" s="408"/>
      <c r="V1230" s="23"/>
    </row>
    <row r="1231" spans="1:32" s="16" customFormat="1" ht="21" customHeight="1" x14ac:dyDescent="0.2">
      <c r="A1231" s="11"/>
      <c r="B1231" s="125"/>
      <c r="C1231" s="408" t="str">
        <f>"Mutasi Kredit Rp. "&amp;FIXED(I1226+O1226)&amp;"."</f>
        <v>Mutasi Kredit Rp. 0,00.</v>
      </c>
      <c r="D1231" s="408"/>
      <c r="E1231" s="408"/>
      <c r="F1231" s="408"/>
      <c r="G1231" s="408"/>
      <c r="H1231" s="408"/>
      <c r="I1231" s="408"/>
      <c r="J1231" s="408"/>
      <c r="K1231" s="408"/>
      <c r="L1231" s="408"/>
      <c r="M1231" s="408"/>
      <c r="N1231" s="408"/>
      <c r="O1231" s="408"/>
      <c r="P1231" s="408"/>
      <c r="Q1231" s="408"/>
      <c r="R1231" s="408"/>
      <c r="S1231" s="408"/>
      <c r="T1231" s="408"/>
      <c r="U1231" s="408"/>
      <c r="V1231" s="23"/>
    </row>
    <row r="1232" spans="1:32" s="16" customFormat="1" ht="15" customHeight="1" x14ac:dyDescent="0.2">
      <c r="A1232" s="11"/>
      <c r="B1232" s="203"/>
      <c r="C1232" s="37"/>
      <c r="D1232" s="37"/>
      <c r="E1232" s="37"/>
      <c r="F1232" s="37"/>
      <c r="G1232" s="37"/>
      <c r="H1232" s="37"/>
      <c r="I1232" s="37"/>
      <c r="J1232" s="37"/>
      <c r="K1232" s="37"/>
      <c r="L1232" s="37"/>
      <c r="M1232" s="37"/>
      <c r="N1232" s="37"/>
      <c r="O1232" s="37"/>
      <c r="P1232" s="37"/>
      <c r="Q1232" s="37"/>
      <c r="R1232" s="37"/>
      <c r="S1232" s="37"/>
      <c r="T1232" s="37"/>
      <c r="U1232" s="37"/>
      <c r="V1232" s="23"/>
    </row>
    <row r="1233" spans="1:32" s="16" customFormat="1" ht="15" customHeight="1" x14ac:dyDescent="0.2">
      <c r="A1233" s="11"/>
      <c r="B1233" s="202" t="s">
        <v>469</v>
      </c>
      <c r="C1233" s="402" t="str">
        <f>'[1]4.NERACA'!C107</f>
        <v>Tugu Titik Kontrol/Pasti</v>
      </c>
      <c r="D1233" s="402"/>
      <c r="E1233" s="402"/>
      <c r="F1233" s="402"/>
      <c r="G1233" s="402"/>
      <c r="H1233" s="402"/>
      <c r="I1233" s="402"/>
      <c r="J1233" s="402"/>
      <c r="K1233" s="402"/>
      <c r="L1233" s="402"/>
      <c r="M1233" s="402"/>
      <c r="N1233" s="402"/>
      <c r="O1233" s="402"/>
      <c r="P1233" s="402"/>
      <c r="Q1233" s="402"/>
      <c r="R1233" s="402"/>
      <c r="S1233" s="402"/>
      <c r="T1233" s="402"/>
      <c r="U1233" s="402"/>
      <c r="V1233" s="23"/>
    </row>
    <row r="1234" spans="1:32" s="16" customFormat="1" ht="60.75" customHeight="1" x14ac:dyDescent="0.2">
      <c r="A1234" s="11"/>
      <c r="C1234" s="407" t="str">
        <f>"Nilai aset tetap berupa "&amp;C1233&amp;"  per "&amp;'[1]2.ISIAN DATA SKPD'!D8&amp;" dan  "&amp;'[1]2.ISIAN DATA SKPD'!D12&amp;" adalah sebesar Rp. "&amp;FIXED(R1239)&amp;" dan Rp. "&amp;FIXED(B1239)&amp;" tidak mengalami kenaikan/penurunan sebesar Rp. "&amp;FIXED(AC1239)&amp;" atau sebesar "&amp;FIXED(Y1239)&amp;"% dari tahun "&amp;'[1]2.ISIAN DATA SKPD'!D12&amp;"."</f>
        <v>Nilai aset tetap berupa Tugu Titik Kontrol/Pasti  per 31 Desember 2018 dan  2017 adalah sebesar Rp. 0,00 dan Rp. 0,00 tidak mengalami kenaikan/penurunan sebesar Rp. 0,00 atau sebesar 0,00% dari tahun 2017.</v>
      </c>
      <c r="D1234" s="407"/>
      <c r="E1234" s="407"/>
      <c r="F1234" s="407"/>
      <c r="G1234" s="407"/>
      <c r="H1234" s="407"/>
      <c r="I1234" s="407"/>
      <c r="J1234" s="407"/>
      <c r="K1234" s="407"/>
      <c r="L1234" s="407"/>
      <c r="M1234" s="407"/>
      <c r="N1234" s="407"/>
      <c r="O1234" s="407"/>
      <c r="P1234" s="407"/>
      <c r="Q1234" s="407"/>
      <c r="R1234" s="407"/>
      <c r="S1234" s="407"/>
      <c r="T1234" s="407"/>
      <c r="U1234" s="407"/>
      <c r="V1234" s="23"/>
    </row>
    <row r="1235" spans="1:32" s="16" customFormat="1" ht="17.25" customHeight="1" x14ac:dyDescent="0.2">
      <c r="A1235" s="11"/>
      <c r="B1235" s="77"/>
      <c r="C1235" s="407" t="str">
        <f>"Dengan mutasi  selama tahun "&amp;'[1]2.ISIAN DATA SKPD'!D11&amp;" sebagai berikut :"</f>
        <v>Dengan mutasi  selama tahun 2018 sebagai berikut :</v>
      </c>
      <c r="D1235" s="407"/>
      <c r="E1235" s="407"/>
      <c r="F1235" s="407"/>
      <c r="G1235" s="407"/>
      <c r="H1235" s="407"/>
      <c r="I1235" s="407"/>
      <c r="J1235" s="407"/>
      <c r="K1235" s="407"/>
      <c r="L1235" s="407"/>
      <c r="M1235" s="407"/>
      <c r="N1235" s="407"/>
      <c r="O1235" s="407"/>
      <c r="P1235" s="407"/>
      <c r="Q1235" s="407"/>
      <c r="R1235" s="407"/>
      <c r="S1235" s="407"/>
      <c r="T1235" s="407"/>
      <c r="U1235" s="407"/>
      <c r="V1235" s="23"/>
    </row>
    <row r="1236" spans="1:32" s="16" customFormat="1" ht="17.25" customHeight="1" x14ac:dyDescent="0.2">
      <c r="A1236" s="11"/>
      <c r="B1236" s="77"/>
      <c r="C1236" s="77"/>
      <c r="D1236" s="77"/>
      <c r="E1236" s="77"/>
      <c r="F1236" s="77"/>
      <c r="G1236" s="77"/>
      <c r="H1236" s="77"/>
      <c r="I1236" s="77"/>
      <c r="J1236" s="77"/>
      <c r="K1236" s="77"/>
      <c r="L1236" s="77"/>
      <c r="M1236" s="77"/>
      <c r="N1236" s="77"/>
      <c r="O1236" s="77"/>
      <c r="P1236" s="77"/>
      <c r="Q1236" s="77"/>
      <c r="R1236" s="77"/>
      <c r="S1236" s="77"/>
      <c r="T1236" s="77"/>
      <c r="U1236" s="77"/>
      <c r="V1236" s="23"/>
    </row>
    <row r="1237" spans="1:32" s="16" customFormat="1" ht="15" customHeight="1" x14ac:dyDescent="0.2">
      <c r="A1237" s="567" t="s">
        <v>125</v>
      </c>
      <c r="B1237" s="600" t="s">
        <v>443</v>
      </c>
      <c r="C1237" s="600"/>
      <c r="D1237" s="600"/>
      <c r="E1237" s="600"/>
      <c r="F1237" s="605" t="s">
        <v>444</v>
      </c>
      <c r="G1237" s="605"/>
      <c r="H1237" s="605"/>
      <c r="I1237" s="605"/>
      <c r="J1237" s="605"/>
      <c r="K1237" s="605"/>
      <c r="L1237" s="605" t="s">
        <v>445</v>
      </c>
      <c r="M1237" s="605"/>
      <c r="N1237" s="605"/>
      <c r="O1237" s="605"/>
      <c r="P1237" s="605"/>
      <c r="Q1237" s="605"/>
      <c r="R1237" s="600" t="s">
        <v>446</v>
      </c>
      <c r="S1237" s="600"/>
      <c r="T1237" s="600"/>
      <c r="U1237" s="600"/>
      <c r="V1237" s="23"/>
    </row>
    <row r="1238" spans="1:32" s="16" customFormat="1" ht="15" customHeight="1" x14ac:dyDescent="0.2">
      <c r="A1238" s="568"/>
      <c r="B1238" s="732">
        <f>B1225</f>
        <v>2017</v>
      </c>
      <c r="C1238" s="600"/>
      <c r="D1238" s="600"/>
      <c r="E1238" s="600"/>
      <c r="F1238" s="600" t="s">
        <v>447</v>
      </c>
      <c r="G1238" s="600"/>
      <c r="H1238" s="600"/>
      <c r="I1238" s="599" t="s">
        <v>448</v>
      </c>
      <c r="J1238" s="599"/>
      <c r="K1238" s="599"/>
      <c r="L1238" s="600" t="s">
        <v>447</v>
      </c>
      <c r="M1238" s="600"/>
      <c r="N1238" s="600"/>
      <c r="O1238" s="601" t="s">
        <v>448</v>
      </c>
      <c r="P1238" s="601"/>
      <c r="Q1238" s="601"/>
      <c r="R1238" s="713">
        <f>R1225</f>
        <v>2018</v>
      </c>
      <c r="S1238" s="714"/>
      <c r="T1238" s="714"/>
      <c r="U1238" s="715"/>
      <c r="V1238" s="487"/>
      <c r="W1238" s="480"/>
      <c r="X1238" s="480"/>
      <c r="Y1238" s="471" t="s">
        <v>449</v>
      </c>
      <c r="Z1238" s="480"/>
      <c r="AA1238" s="480"/>
      <c r="AB1238" s="480"/>
      <c r="AC1238" s="488" t="s">
        <v>438</v>
      </c>
      <c r="AD1238" s="489"/>
      <c r="AE1238" s="489"/>
      <c r="AF1238" s="489"/>
    </row>
    <row r="1239" spans="1:32" s="16" customFormat="1" ht="29.25" customHeight="1" x14ac:dyDescent="0.2">
      <c r="A1239" s="200" t="str">
        <f>C1233</f>
        <v>Tugu Titik Kontrol/Pasti</v>
      </c>
      <c r="B1239" s="650">
        <f>'[1]4.NERACA'!D107</f>
        <v>0</v>
      </c>
      <c r="C1239" s="651"/>
      <c r="D1239" s="651"/>
      <c r="E1239" s="652"/>
      <c r="F1239" s="650">
        <f>'[1]4.NERACA'!E107</f>
        <v>0</v>
      </c>
      <c r="G1239" s="651"/>
      <c r="H1239" s="652"/>
      <c r="I1239" s="666">
        <f>'[1]4.NERACA'!F107</f>
        <v>0</v>
      </c>
      <c r="J1239" s="667"/>
      <c r="K1239" s="668"/>
      <c r="L1239" s="650">
        <f>'[1]4.NERACA'!G107</f>
        <v>0</v>
      </c>
      <c r="M1239" s="651"/>
      <c r="N1239" s="652"/>
      <c r="O1239" s="650">
        <f>'[1]4.NERACA'!H107</f>
        <v>0</v>
      </c>
      <c r="P1239" s="651"/>
      <c r="Q1239" s="652"/>
      <c r="R1239" s="650">
        <f>B1239+F1239-I1239+L1239-O1239</f>
        <v>0</v>
      </c>
      <c r="S1239" s="651"/>
      <c r="T1239" s="651"/>
      <c r="U1239" s="652"/>
      <c r="V1239" s="479"/>
      <c r="W1239" s="480"/>
      <c r="X1239" s="480"/>
      <c r="Y1239" s="471">
        <v>0</v>
      </c>
      <c r="Z1239" s="480"/>
      <c r="AA1239" s="480"/>
      <c r="AB1239" s="480"/>
      <c r="AC1239" s="471">
        <f>R1239-B1239</f>
        <v>0</v>
      </c>
      <c r="AD1239" s="472"/>
      <c r="AE1239" s="472"/>
      <c r="AF1239" s="472"/>
    </row>
    <row r="1240" spans="1:32" s="16" customFormat="1" ht="15" customHeight="1" x14ac:dyDescent="0.2">
      <c r="A1240" s="11"/>
      <c r="B1240" s="408" t="s">
        <v>461</v>
      </c>
      <c r="C1240" s="408"/>
      <c r="D1240" s="408"/>
      <c r="E1240" s="408"/>
      <c r="F1240" s="408"/>
      <c r="G1240" s="408"/>
      <c r="H1240" s="408"/>
      <c r="I1240" s="408"/>
      <c r="J1240" s="408"/>
      <c r="K1240" s="408"/>
      <c r="L1240" s="408"/>
      <c r="M1240" s="408"/>
      <c r="N1240" s="408"/>
      <c r="O1240" s="408"/>
      <c r="P1240" s="408"/>
      <c r="Q1240" s="408"/>
      <c r="R1240" s="408"/>
      <c r="S1240" s="408"/>
      <c r="T1240" s="408"/>
      <c r="U1240" s="408"/>
      <c r="V1240" s="23"/>
    </row>
    <row r="1241" spans="1:32" s="16" customFormat="1" ht="15" customHeight="1" x14ac:dyDescent="0.2">
      <c r="A1241" s="11"/>
      <c r="B1241" s="125"/>
      <c r="C1241" s="408" t="s">
        <v>462</v>
      </c>
      <c r="D1241" s="408"/>
      <c r="E1241" s="408"/>
      <c r="F1241" s="408"/>
      <c r="G1241" s="408"/>
      <c r="H1241" s="408"/>
      <c r="I1241" s="408"/>
      <c r="J1241" s="408"/>
      <c r="K1241" s="408"/>
      <c r="L1241" s="408"/>
      <c r="M1241" s="408"/>
      <c r="N1241" s="408"/>
      <c r="O1241" s="408"/>
      <c r="P1241" s="408"/>
      <c r="Q1241" s="408"/>
      <c r="R1241" s="408"/>
      <c r="S1241" s="408"/>
      <c r="T1241" s="408"/>
      <c r="U1241" s="408"/>
      <c r="V1241" s="23"/>
    </row>
    <row r="1242" spans="1:32" s="16" customFormat="1" ht="18.75" customHeight="1" x14ac:dyDescent="0.2">
      <c r="A1242" s="11"/>
      <c r="B1242" s="125"/>
      <c r="C1242" s="408" t="str">
        <f>"Mutasi Debet sebesar Rp. "&amp;FIXED(F1239+L1239)&amp;"."</f>
        <v>Mutasi Debet sebesar Rp. 0,00.</v>
      </c>
      <c r="D1242" s="408"/>
      <c r="E1242" s="408"/>
      <c r="F1242" s="408"/>
      <c r="G1242" s="408"/>
      <c r="H1242" s="408"/>
      <c r="I1242" s="408"/>
      <c r="J1242" s="408"/>
      <c r="K1242" s="408"/>
      <c r="L1242" s="408"/>
      <c r="M1242" s="408"/>
      <c r="N1242" s="408"/>
      <c r="O1242" s="408"/>
      <c r="P1242" s="408"/>
      <c r="Q1242" s="408"/>
      <c r="R1242" s="408"/>
      <c r="S1242" s="408"/>
      <c r="T1242" s="408"/>
      <c r="U1242" s="408"/>
      <c r="V1242" s="23"/>
    </row>
    <row r="1243" spans="1:32" s="16" customFormat="1" ht="15" customHeight="1" x14ac:dyDescent="0.2">
      <c r="A1243" s="11"/>
      <c r="B1243" s="125"/>
      <c r="C1243" s="408" t="s">
        <v>463</v>
      </c>
      <c r="D1243" s="408"/>
      <c r="E1243" s="408"/>
      <c r="F1243" s="408"/>
      <c r="G1243" s="408"/>
      <c r="H1243" s="408"/>
      <c r="I1243" s="408"/>
      <c r="J1243" s="408"/>
      <c r="K1243" s="408"/>
      <c r="L1243" s="408"/>
      <c r="M1243" s="408"/>
      <c r="N1243" s="408"/>
      <c r="O1243" s="408"/>
      <c r="P1243" s="408"/>
      <c r="Q1243" s="408"/>
      <c r="R1243" s="408"/>
      <c r="S1243" s="408"/>
      <c r="T1243" s="408"/>
      <c r="U1243" s="408"/>
      <c r="V1243" s="23"/>
    </row>
    <row r="1244" spans="1:32" s="16" customFormat="1" ht="18.75" customHeight="1" x14ac:dyDescent="0.2">
      <c r="A1244" s="11"/>
      <c r="B1244" s="125"/>
      <c r="C1244" s="408" t="str">
        <f>"Mutasi Kredit Rp. "&amp;FIXED(I1239+O1239)&amp;"."</f>
        <v>Mutasi Kredit Rp. 0,00.</v>
      </c>
      <c r="D1244" s="408"/>
      <c r="E1244" s="408"/>
      <c r="F1244" s="408"/>
      <c r="G1244" s="408"/>
      <c r="H1244" s="408"/>
      <c r="I1244" s="408"/>
      <c r="J1244" s="408"/>
      <c r="K1244" s="408"/>
      <c r="L1244" s="408"/>
      <c r="M1244" s="408"/>
      <c r="N1244" s="408"/>
      <c r="O1244" s="408"/>
      <c r="P1244" s="408"/>
      <c r="Q1244" s="408"/>
      <c r="R1244" s="408"/>
      <c r="S1244" s="408"/>
      <c r="T1244" s="408"/>
      <c r="U1244" s="408"/>
      <c r="V1244" s="23"/>
    </row>
    <row r="1245" spans="1:32" s="16" customFormat="1" ht="15" customHeight="1" x14ac:dyDescent="0.2">
      <c r="A1245" s="11"/>
      <c r="B1245" s="203"/>
      <c r="C1245" s="37"/>
      <c r="D1245" s="37"/>
      <c r="E1245" s="37"/>
      <c r="F1245" s="37"/>
      <c r="G1245" s="37"/>
      <c r="H1245" s="37"/>
      <c r="I1245" s="37"/>
      <c r="J1245" s="37"/>
      <c r="K1245" s="37"/>
      <c r="L1245" s="37"/>
      <c r="M1245" s="37"/>
      <c r="N1245" s="37"/>
      <c r="O1245" s="37"/>
      <c r="P1245" s="37"/>
      <c r="Q1245" s="37"/>
      <c r="R1245" s="37"/>
      <c r="S1245" s="37"/>
      <c r="T1245" s="37"/>
      <c r="U1245" s="37"/>
      <c r="V1245" s="23"/>
    </row>
    <row r="1246" spans="1:32" s="16" customFormat="1" ht="15" customHeight="1" x14ac:dyDescent="0.2">
      <c r="A1246" s="11"/>
      <c r="B1246" s="202" t="s">
        <v>471</v>
      </c>
      <c r="C1246" s="402" t="str">
        <f>'[1]4.NERACA'!C108</f>
        <v>Rambu-Rambu</v>
      </c>
      <c r="D1246" s="402"/>
      <c r="E1246" s="402"/>
      <c r="F1246" s="402"/>
      <c r="G1246" s="402"/>
      <c r="H1246" s="402"/>
      <c r="I1246" s="402"/>
      <c r="J1246" s="402"/>
      <c r="K1246" s="402"/>
      <c r="L1246" s="402"/>
      <c r="M1246" s="402"/>
      <c r="N1246" s="402"/>
      <c r="O1246" s="402"/>
      <c r="P1246" s="402"/>
      <c r="Q1246" s="402"/>
      <c r="R1246" s="402"/>
      <c r="S1246" s="402"/>
      <c r="T1246" s="402"/>
      <c r="U1246" s="402"/>
      <c r="V1246" s="23"/>
    </row>
    <row r="1247" spans="1:32" s="16" customFormat="1" ht="66" customHeight="1" x14ac:dyDescent="0.2">
      <c r="A1247" s="11"/>
      <c r="C1247" s="407" t="str">
        <f>"Nilai aset tetap berupa "&amp;C1246&amp;"  per "&amp;'[1]2.ISIAN DATA SKPD'!D8&amp;" dan  "&amp;'[1]2.ISIAN DATA SKPD'!D12&amp;" adalah sebesar Rp. "&amp;FIXED(R1252)&amp;" dan Rp. "&amp;FIXED(B1252)&amp;" tidak  mengalami kenaikan/penurunan sebesar Rp. "&amp;FIXED(AC1252)&amp;" atau sebesar "&amp;FIXED(Y1252)&amp;"% dari tahun "&amp;'[1]2.ISIAN DATA SKPD'!D12&amp;"."</f>
        <v>Nilai aset tetap berupa Rambu-Rambu  per 31 Desember 2018 dan  2017 adalah sebesar Rp. 0,00 dan Rp. 0,00 tidak  mengalami kenaikan/penurunan sebesar Rp. 0,00 atau sebesar 0,00% dari tahun 2017.</v>
      </c>
      <c r="D1247" s="407"/>
      <c r="E1247" s="407"/>
      <c r="F1247" s="407"/>
      <c r="G1247" s="407"/>
      <c r="H1247" s="407"/>
      <c r="I1247" s="407"/>
      <c r="J1247" s="407"/>
      <c r="K1247" s="407"/>
      <c r="L1247" s="407"/>
      <c r="M1247" s="407"/>
      <c r="N1247" s="407"/>
      <c r="O1247" s="407"/>
      <c r="P1247" s="407"/>
      <c r="Q1247" s="407"/>
      <c r="R1247" s="407"/>
      <c r="S1247" s="407"/>
      <c r="T1247" s="407"/>
      <c r="U1247" s="407"/>
      <c r="V1247" s="23"/>
    </row>
    <row r="1248" spans="1:32" s="16" customFormat="1" ht="22.5" customHeight="1" x14ac:dyDescent="0.2">
      <c r="A1248" s="11"/>
      <c r="B1248" s="77"/>
      <c r="C1248" s="407" t="str">
        <f>"Dengan mutasi  selama tahun "&amp;'[1]2.ISIAN DATA SKPD'!D11&amp;" sebagai berikut :"</f>
        <v>Dengan mutasi  selama tahun 2018 sebagai berikut :</v>
      </c>
      <c r="D1248" s="407"/>
      <c r="E1248" s="407"/>
      <c r="F1248" s="407"/>
      <c r="G1248" s="407"/>
      <c r="H1248" s="407"/>
      <c r="I1248" s="407"/>
      <c r="J1248" s="407"/>
      <c r="K1248" s="407"/>
      <c r="L1248" s="407"/>
      <c r="M1248" s="407"/>
      <c r="N1248" s="407"/>
      <c r="O1248" s="407"/>
      <c r="P1248" s="407"/>
      <c r="Q1248" s="407"/>
      <c r="R1248" s="407"/>
      <c r="S1248" s="407"/>
      <c r="T1248" s="407"/>
      <c r="U1248" s="407"/>
      <c r="V1248" s="23"/>
    </row>
    <row r="1249" spans="1:32" s="16" customFormat="1" ht="15.75" customHeight="1" x14ac:dyDescent="0.2">
      <c r="A1249" s="11"/>
      <c r="B1249" s="77"/>
      <c r="C1249" s="77"/>
      <c r="D1249" s="77"/>
      <c r="E1249" s="77"/>
      <c r="F1249" s="77"/>
      <c r="G1249" s="77"/>
      <c r="H1249" s="77"/>
      <c r="I1249" s="77"/>
      <c r="J1249" s="77"/>
      <c r="K1249" s="77"/>
      <c r="L1249" s="77"/>
      <c r="M1249" s="77"/>
      <c r="N1249" s="77"/>
      <c r="O1249" s="77"/>
      <c r="P1249" s="77"/>
      <c r="Q1249" s="77"/>
      <c r="R1249" s="77"/>
      <c r="S1249" s="77"/>
      <c r="T1249" s="77"/>
      <c r="U1249" s="77"/>
      <c r="V1249" s="23"/>
    </row>
    <row r="1250" spans="1:32" s="16" customFormat="1" ht="15" customHeight="1" x14ac:dyDescent="0.2">
      <c r="A1250" s="567" t="s">
        <v>125</v>
      </c>
      <c r="B1250" s="600" t="s">
        <v>443</v>
      </c>
      <c r="C1250" s="600"/>
      <c r="D1250" s="600"/>
      <c r="E1250" s="600"/>
      <c r="F1250" s="605" t="s">
        <v>444</v>
      </c>
      <c r="G1250" s="605"/>
      <c r="H1250" s="605"/>
      <c r="I1250" s="605"/>
      <c r="J1250" s="605"/>
      <c r="K1250" s="605"/>
      <c r="L1250" s="605" t="s">
        <v>445</v>
      </c>
      <c r="M1250" s="605"/>
      <c r="N1250" s="605"/>
      <c r="O1250" s="605"/>
      <c r="P1250" s="605"/>
      <c r="Q1250" s="605"/>
      <c r="R1250" s="600" t="s">
        <v>446</v>
      </c>
      <c r="S1250" s="600"/>
      <c r="T1250" s="600"/>
      <c r="U1250" s="600"/>
      <c r="V1250" s="23"/>
    </row>
    <row r="1251" spans="1:32" s="16" customFormat="1" ht="15" customHeight="1" x14ac:dyDescent="0.2">
      <c r="A1251" s="568"/>
      <c r="B1251" s="732">
        <f>B1238</f>
        <v>2017</v>
      </c>
      <c r="C1251" s="600"/>
      <c r="D1251" s="600"/>
      <c r="E1251" s="600"/>
      <c r="F1251" s="600" t="s">
        <v>447</v>
      </c>
      <c r="G1251" s="600"/>
      <c r="H1251" s="600"/>
      <c r="I1251" s="599" t="s">
        <v>448</v>
      </c>
      <c r="J1251" s="599"/>
      <c r="K1251" s="599"/>
      <c r="L1251" s="600" t="s">
        <v>447</v>
      </c>
      <c r="M1251" s="600"/>
      <c r="N1251" s="600"/>
      <c r="O1251" s="601" t="s">
        <v>448</v>
      </c>
      <c r="P1251" s="601"/>
      <c r="Q1251" s="601"/>
      <c r="R1251" s="713">
        <f>R1238</f>
        <v>2018</v>
      </c>
      <c r="S1251" s="714"/>
      <c r="T1251" s="714"/>
      <c r="U1251" s="715"/>
      <c r="V1251" s="487"/>
      <c r="W1251" s="480"/>
      <c r="X1251" s="480"/>
      <c r="Y1251" s="471" t="s">
        <v>449</v>
      </c>
      <c r="Z1251" s="480"/>
      <c r="AA1251" s="480"/>
      <c r="AB1251" s="480"/>
      <c r="AC1251" s="488" t="s">
        <v>438</v>
      </c>
      <c r="AD1251" s="489"/>
      <c r="AE1251" s="489"/>
      <c r="AF1251" s="489"/>
    </row>
    <row r="1252" spans="1:32" s="16" customFormat="1" ht="28.5" customHeight="1" x14ac:dyDescent="0.2">
      <c r="A1252" s="214" t="str">
        <f>C1246</f>
        <v>Rambu-Rambu</v>
      </c>
      <c r="B1252" s="580">
        <f>'[1]4.NERACA'!D108</f>
        <v>0</v>
      </c>
      <c r="C1252" s="581"/>
      <c r="D1252" s="581"/>
      <c r="E1252" s="582"/>
      <c r="F1252" s="580">
        <f>'[1]4.NERACA'!E108</f>
        <v>0</v>
      </c>
      <c r="G1252" s="581"/>
      <c r="H1252" s="582"/>
      <c r="I1252" s="682">
        <f>'[1]4.NERACA'!F108</f>
        <v>0</v>
      </c>
      <c r="J1252" s="683"/>
      <c r="K1252" s="684"/>
      <c r="L1252" s="580">
        <f>'[1]4.NERACA'!G108</f>
        <v>0</v>
      </c>
      <c r="M1252" s="581"/>
      <c r="N1252" s="582"/>
      <c r="O1252" s="580">
        <f>'[1]4.NERACA'!H108</f>
        <v>0</v>
      </c>
      <c r="P1252" s="581"/>
      <c r="Q1252" s="582"/>
      <c r="R1252" s="580">
        <f>B1252+F1252-I1252+L1252-O1252</f>
        <v>0</v>
      </c>
      <c r="S1252" s="581"/>
      <c r="T1252" s="581"/>
      <c r="U1252" s="582"/>
      <c r="V1252" s="479"/>
      <c r="W1252" s="480"/>
      <c r="X1252" s="480"/>
      <c r="Y1252" s="471">
        <v>0</v>
      </c>
      <c r="Z1252" s="480"/>
      <c r="AA1252" s="480"/>
      <c r="AB1252" s="480"/>
      <c r="AC1252" s="471">
        <f>R1252-B1252</f>
        <v>0</v>
      </c>
      <c r="AD1252" s="472"/>
      <c r="AE1252" s="472"/>
      <c r="AF1252" s="472"/>
    </row>
    <row r="1253" spans="1:32" s="16" customFormat="1" ht="15" customHeight="1" x14ac:dyDescent="0.2">
      <c r="A1253" s="11"/>
      <c r="B1253" s="408" t="s">
        <v>461</v>
      </c>
      <c r="C1253" s="408"/>
      <c r="D1253" s="408"/>
      <c r="E1253" s="408"/>
      <c r="F1253" s="408"/>
      <c r="G1253" s="408"/>
      <c r="H1253" s="408"/>
      <c r="I1253" s="408"/>
      <c r="J1253" s="408"/>
      <c r="K1253" s="408"/>
      <c r="L1253" s="408"/>
      <c r="M1253" s="408"/>
      <c r="N1253" s="408"/>
      <c r="O1253" s="408"/>
      <c r="P1253" s="408"/>
      <c r="Q1253" s="408"/>
      <c r="R1253" s="408"/>
      <c r="S1253" s="408"/>
      <c r="T1253" s="408"/>
      <c r="U1253" s="408"/>
      <c r="V1253" s="23"/>
    </row>
    <row r="1254" spans="1:32" s="16" customFormat="1" ht="15" customHeight="1" x14ac:dyDescent="0.2">
      <c r="A1254" s="11"/>
      <c r="B1254" s="125"/>
      <c r="C1254" s="408" t="s">
        <v>462</v>
      </c>
      <c r="D1254" s="408"/>
      <c r="E1254" s="408"/>
      <c r="F1254" s="408"/>
      <c r="G1254" s="408"/>
      <c r="H1254" s="408"/>
      <c r="I1254" s="408"/>
      <c r="J1254" s="408"/>
      <c r="K1254" s="408"/>
      <c r="L1254" s="408"/>
      <c r="M1254" s="408"/>
      <c r="N1254" s="408"/>
      <c r="O1254" s="408"/>
      <c r="P1254" s="408"/>
      <c r="Q1254" s="408"/>
      <c r="R1254" s="408"/>
      <c r="S1254" s="408"/>
      <c r="T1254" s="408"/>
      <c r="U1254" s="408"/>
      <c r="V1254" s="23"/>
    </row>
    <row r="1255" spans="1:32" s="16" customFormat="1" ht="21" customHeight="1" x14ac:dyDescent="0.2">
      <c r="A1255" s="11"/>
      <c r="B1255" s="125"/>
      <c r="C1255" s="408" t="str">
        <f>"Mutasi Debet sebesar Rp. "&amp;FIXED(F1252+L1252)&amp;". "</f>
        <v xml:space="preserve">Mutasi Debet sebesar Rp. 0,00. </v>
      </c>
      <c r="D1255" s="408"/>
      <c r="E1255" s="408"/>
      <c r="F1255" s="408"/>
      <c r="G1255" s="408"/>
      <c r="H1255" s="408"/>
      <c r="I1255" s="408"/>
      <c r="J1255" s="408"/>
      <c r="K1255" s="408"/>
      <c r="L1255" s="408"/>
      <c r="M1255" s="408"/>
      <c r="N1255" s="408"/>
      <c r="O1255" s="408"/>
      <c r="P1255" s="408"/>
      <c r="Q1255" s="408"/>
      <c r="R1255" s="408"/>
      <c r="S1255" s="408"/>
      <c r="T1255" s="408"/>
      <c r="U1255" s="408"/>
      <c r="V1255" s="23"/>
    </row>
    <row r="1256" spans="1:32" s="16" customFormat="1" ht="15" customHeight="1" x14ac:dyDescent="0.2">
      <c r="A1256" s="11"/>
      <c r="B1256" s="125"/>
      <c r="C1256" s="408" t="s">
        <v>463</v>
      </c>
      <c r="D1256" s="408"/>
      <c r="E1256" s="408"/>
      <c r="F1256" s="408"/>
      <c r="G1256" s="408"/>
      <c r="H1256" s="408"/>
      <c r="I1256" s="408"/>
      <c r="J1256" s="408"/>
      <c r="K1256" s="408"/>
      <c r="L1256" s="408"/>
      <c r="M1256" s="408"/>
      <c r="N1256" s="408"/>
      <c r="O1256" s="408"/>
      <c r="P1256" s="408"/>
      <c r="Q1256" s="408"/>
      <c r="R1256" s="408"/>
      <c r="S1256" s="408"/>
      <c r="T1256" s="408"/>
      <c r="U1256" s="408"/>
      <c r="V1256" s="23"/>
    </row>
    <row r="1257" spans="1:32" s="16" customFormat="1" ht="23.25" customHeight="1" x14ac:dyDescent="0.2">
      <c r="A1257" s="11"/>
      <c r="B1257" s="125"/>
      <c r="C1257" s="408" t="str">
        <f>"Mutasi Kredit Rp. "&amp;FIXED(I1252+O1252)&amp;"."</f>
        <v>Mutasi Kredit Rp. 0,00.</v>
      </c>
      <c r="D1257" s="408"/>
      <c r="E1257" s="408"/>
      <c r="F1257" s="408"/>
      <c r="G1257" s="408"/>
      <c r="H1257" s="408"/>
      <c r="I1257" s="408"/>
      <c r="J1257" s="408"/>
      <c r="K1257" s="408"/>
      <c r="L1257" s="408"/>
      <c r="M1257" s="408"/>
      <c r="N1257" s="408"/>
      <c r="O1257" s="408"/>
      <c r="P1257" s="408"/>
      <c r="Q1257" s="408"/>
      <c r="R1257" s="408"/>
      <c r="S1257" s="408"/>
      <c r="T1257" s="408"/>
      <c r="U1257" s="408"/>
    </row>
    <row r="1258" spans="1:32" s="16" customFormat="1" ht="15" customHeight="1" x14ac:dyDescent="0.2">
      <c r="A1258" s="11"/>
      <c r="B1258" s="203"/>
      <c r="C1258" s="37"/>
      <c r="D1258" s="37"/>
      <c r="E1258" s="37"/>
      <c r="F1258" s="37"/>
      <c r="G1258" s="37"/>
      <c r="H1258" s="37"/>
      <c r="I1258" s="37"/>
      <c r="J1258" s="37"/>
      <c r="K1258" s="37"/>
      <c r="L1258" s="37"/>
      <c r="M1258" s="37"/>
      <c r="N1258" s="37"/>
      <c r="O1258" s="37"/>
      <c r="P1258" s="37"/>
      <c r="Q1258" s="37"/>
      <c r="R1258" s="37"/>
      <c r="S1258" s="37"/>
      <c r="T1258" s="37"/>
      <c r="U1258" s="37"/>
      <c r="V1258" s="23"/>
    </row>
    <row r="1259" spans="1:32" s="16" customFormat="1" ht="29.25" customHeight="1" x14ac:dyDescent="0.25">
      <c r="A1259" s="11"/>
      <c r="B1259" s="743" t="str">
        <f>"Rincian saldo Gedung dan Bangunan per "&amp;'[1]2.ISIAN DATA SKPD'!D8&amp;" adalah sebagai berikut:"</f>
        <v>Rincian saldo Gedung dan Bangunan per 31 Desember 2018 adalah sebagai berikut:</v>
      </c>
      <c r="C1259" s="743"/>
      <c r="D1259" s="743"/>
      <c r="E1259" s="743"/>
      <c r="F1259" s="743"/>
      <c r="G1259" s="743"/>
      <c r="H1259" s="743"/>
      <c r="I1259" s="743"/>
      <c r="J1259" s="743"/>
      <c r="K1259" s="743"/>
      <c r="L1259" s="743"/>
      <c r="M1259" s="743"/>
      <c r="N1259" s="743"/>
      <c r="O1259" s="743"/>
      <c r="P1259" s="743"/>
      <c r="Q1259" s="743"/>
      <c r="R1259" s="743"/>
      <c r="S1259" s="743"/>
      <c r="T1259" s="743"/>
      <c r="U1259" s="743"/>
      <c r="V1259" s="23"/>
    </row>
    <row r="1260" spans="1:32" s="16" customFormat="1" ht="14.25" customHeight="1" x14ac:dyDescent="0.25">
      <c r="A1260" s="11"/>
      <c r="B1260" s="215"/>
      <c r="C1260" s="215"/>
      <c r="D1260" s="215"/>
      <c r="E1260" s="215"/>
      <c r="F1260" s="215"/>
      <c r="G1260" s="215"/>
      <c r="H1260" s="215"/>
      <c r="I1260" s="215"/>
      <c r="J1260" s="215"/>
      <c r="K1260" s="215"/>
      <c r="L1260" s="215"/>
      <c r="M1260" s="215"/>
      <c r="N1260" s="215"/>
      <c r="O1260" s="215"/>
      <c r="P1260" s="215"/>
      <c r="Q1260" s="215"/>
      <c r="R1260" s="215"/>
      <c r="S1260" s="215"/>
      <c r="T1260" s="215"/>
      <c r="U1260" s="215"/>
      <c r="V1260" s="23"/>
    </row>
    <row r="1261" spans="1:32" s="16" customFormat="1" ht="25.5" customHeight="1" x14ac:dyDescent="0.2">
      <c r="A1261" s="11"/>
      <c r="B1261" s="221" t="s">
        <v>209</v>
      </c>
      <c r="C1261" s="425" t="s">
        <v>329</v>
      </c>
      <c r="D1261" s="426"/>
      <c r="E1261" s="426"/>
      <c r="F1261" s="426"/>
      <c r="G1261" s="426"/>
      <c r="H1261" s="426"/>
      <c r="I1261" s="426"/>
      <c r="J1261" s="426"/>
      <c r="K1261" s="426"/>
      <c r="L1261" s="426"/>
      <c r="M1261" s="426"/>
      <c r="N1261" s="426"/>
      <c r="O1261" s="427"/>
      <c r="P1261" s="425" t="s">
        <v>455</v>
      </c>
      <c r="Q1261" s="426"/>
      <c r="R1261" s="426"/>
      <c r="S1261" s="426"/>
      <c r="T1261" s="426"/>
      <c r="U1261" s="427"/>
      <c r="V1261" s="23"/>
    </row>
    <row r="1262" spans="1:32" s="16" customFormat="1" ht="15" customHeight="1" x14ac:dyDescent="0.2">
      <c r="A1262" s="11"/>
      <c r="B1262" s="222">
        <v>1</v>
      </c>
      <c r="C1262" s="697" t="str">
        <f>'[1]4.NERACA'!C100</f>
        <v>Bangunan Gedung Tempat Kerja</v>
      </c>
      <c r="D1262" s="698"/>
      <c r="E1262" s="698"/>
      <c r="F1262" s="698"/>
      <c r="G1262" s="698"/>
      <c r="H1262" s="698"/>
      <c r="I1262" s="698"/>
      <c r="J1262" s="698"/>
      <c r="K1262" s="698"/>
      <c r="L1262" s="698"/>
      <c r="M1262" s="698"/>
      <c r="N1262" s="698"/>
      <c r="O1262" s="699"/>
      <c r="P1262" s="734">
        <f>'[1]4.NERACA'!I100</f>
        <v>25700304307</v>
      </c>
      <c r="Q1262" s="735"/>
      <c r="R1262" s="735"/>
      <c r="S1262" s="735"/>
      <c r="T1262" s="735"/>
      <c r="U1262" s="736"/>
      <c r="V1262" s="23"/>
    </row>
    <row r="1263" spans="1:32" s="16" customFormat="1" ht="15" customHeight="1" x14ac:dyDescent="0.2">
      <c r="A1263" s="11"/>
      <c r="B1263" s="222">
        <v>2</v>
      </c>
      <c r="C1263" s="697" t="str">
        <f>'[1]4.NERACA'!C101</f>
        <v>Bangunan Gedung Tempat Tinggal</v>
      </c>
      <c r="D1263" s="698"/>
      <c r="E1263" s="698"/>
      <c r="F1263" s="698"/>
      <c r="G1263" s="698"/>
      <c r="H1263" s="698"/>
      <c r="I1263" s="698"/>
      <c r="J1263" s="698"/>
      <c r="K1263" s="698"/>
      <c r="L1263" s="698"/>
      <c r="M1263" s="698"/>
      <c r="N1263" s="698"/>
      <c r="O1263" s="699"/>
      <c r="P1263" s="734">
        <f>'[1]4.NERACA'!I101</f>
        <v>149731470</v>
      </c>
      <c r="Q1263" s="735"/>
      <c r="R1263" s="735"/>
      <c r="S1263" s="735"/>
      <c r="T1263" s="735"/>
      <c r="U1263" s="736"/>
      <c r="V1263" s="23"/>
    </row>
    <row r="1264" spans="1:32" s="16" customFormat="1" ht="15" customHeight="1" x14ac:dyDescent="0.2">
      <c r="A1264" s="11"/>
      <c r="B1264" s="222">
        <v>3</v>
      </c>
      <c r="C1264" s="697" t="str">
        <f>'[1]4.NERACA'!C102</f>
        <v>Bangunan Menara</v>
      </c>
      <c r="D1264" s="698"/>
      <c r="E1264" s="698"/>
      <c r="F1264" s="698"/>
      <c r="G1264" s="698"/>
      <c r="H1264" s="698"/>
      <c r="I1264" s="698"/>
      <c r="J1264" s="698"/>
      <c r="K1264" s="698"/>
      <c r="L1264" s="698"/>
      <c r="M1264" s="698"/>
      <c r="N1264" s="698"/>
      <c r="O1264" s="699"/>
      <c r="P1264" s="734">
        <f>'[1]4.NERACA'!I102</f>
        <v>0</v>
      </c>
      <c r="Q1264" s="735"/>
      <c r="R1264" s="735"/>
      <c r="S1264" s="735"/>
      <c r="T1264" s="735"/>
      <c r="U1264" s="736"/>
      <c r="V1264" s="23"/>
    </row>
    <row r="1265" spans="1:32" s="16" customFormat="1" ht="15" customHeight="1" x14ac:dyDescent="0.2">
      <c r="A1265" s="11"/>
      <c r="B1265" s="222">
        <v>4</v>
      </c>
      <c r="C1265" s="697" t="str">
        <f>'[1]4.NERACA'!C103</f>
        <v>Bangunan Bersejarah</v>
      </c>
      <c r="D1265" s="698"/>
      <c r="E1265" s="698"/>
      <c r="F1265" s="698"/>
      <c r="G1265" s="698"/>
      <c r="H1265" s="698"/>
      <c r="I1265" s="698"/>
      <c r="J1265" s="698"/>
      <c r="K1265" s="698"/>
      <c r="L1265" s="698"/>
      <c r="M1265" s="698"/>
      <c r="N1265" s="698"/>
      <c r="O1265" s="699"/>
      <c r="P1265" s="734">
        <f>'[1]4.NERACA'!I103</f>
        <v>0</v>
      </c>
      <c r="Q1265" s="735"/>
      <c r="R1265" s="735"/>
      <c r="S1265" s="735"/>
      <c r="T1265" s="735"/>
      <c r="U1265" s="736"/>
      <c r="V1265" s="23"/>
    </row>
    <row r="1266" spans="1:32" s="16" customFormat="1" ht="15" customHeight="1" x14ac:dyDescent="0.2">
      <c r="A1266" s="11"/>
      <c r="B1266" s="222">
        <v>5</v>
      </c>
      <c r="C1266" s="697" t="str">
        <f>'[1]4.NERACA'!C104</f>
        <v>Tugu Peringatan</v>
      </c>
      <c r="D1266" s="698"/>
      <c r="E1266" s="698"/>
      <c r="F1266" s="698"/>
      <c r="G1266" s="698"/>
      <c r="H1266" s="698"/>
      <c r="I1266" s="698"/>
      <c r="J1266" s="698"/>
      <c r="K1266" s="698"/>
      <c r="L1266" s="698"/>
      <c r="M1266" s="698"/>
      <c r="N1266" s="698"/>
      <c r="O1266" s="699"/>
      <c r="P1266" s="734">
        <f>'[1]4.NERACA'!I104</f>
        <v>114650376</v>
      </c>
      <c r="Q1266" s="735"/>
      <c r="R1266" s="735"/>
      <c r="S1266" s="735"/>
      <c r="T1266" s="735"/>
      <c r="U1266" s="736"/>
      <c r="V1266" s="23"/>
    </row>
    <row r="1267" spans="1:32" s="16" customFormat="1" ht="15" customHeight="1" x14ac:dyDescent="0.2">
      <c r="A1267" s="11"/>
      <c r="B1267" s="222">
        <v>6</v>
      </c>
      <c r="C1267" s="697" t="str">
        <f>'[1]4.NERACA'!C105</f>
        <v>Candi</v>
      </c>
      <c r="D1267" s="698"/>
      <c r="E1267" s="698"/>
      <c r="F1267" s="698"/>
      <c r="G1267" s="698"/>
      <c r="H1267" s="698"/>
      <c r="I1267" s="698"/>
      <c r="J1267" s="698"/>
      <c r="K1267" s="698"/>
      <c r="L1267" s="698"/>
      <c r="M1267" s="698"/>
      <c r="N1267" s="698"/>
      <c r="O1267" s="699"/>
      <c r="P1267" s="734">
        <f>'[1]4.NERACA'!I105</f>
        <v>0</v>
      </c>
      <c r="Q1267" s="735"/>
      <c r="R1267" s="735"/>
      <c r="S1267" s="735"/>
      <c r="T1267" s="735"/>
      <c r="U1267" s="736"/>
      <c r="V1267" s="23"/>
    </row>
    <row r="1268" spans="1:32" s="16" customFormat="1" ht="15" customHeight="1" x14ac:dyDescent="0.2">
      <c r="A1268" s="11"/>
      <c r="B1268" s="222">
        <v>7</v>
      </c>
      <c r="C1268" s="697" t="str">
        <f>'[1]4.NERACA'!C106</f>
        <v>Monumen/Bangunan Bersejarah</v>
      </c>
      <c r="D1268" s="698"/>
      <c r="E1268" s="698"/>
      <c r="F1268" s="698"/>
      <c r="G1268" s="698"/>
      <c r="H1268" s="698"/>
      <c r="I1268" s="698"/>
      <c r="J1268" s="698"/>
      <c r="K1268" s="698"/>
      <c r="L1268" s="698"/>
      <c r="M1268" s="698"/>
      <c r="N1268" s="698"/>
      <c r="O1268" s="699"/>
      <c r="P1268" s="734">
        <f>'[1]4.NERACA'!I106</f>
        <v>0</v>
      </c>
      <c r="Q1268" s="735"/>
      <c r="R1268" s="735"/>
      <c r="S1268" s="735"/>
      <c r="T1268" s="735"/>
      <c r="U1268" s="736"/>
      <c r="V1268" s="23"/>
    </row>
    <row r="1269" spans="1:32" s="16" customFormat="1" ht="27" customHeight="1" x14ac:dyDescent="0.2">
      <c r="A1269" s="11"/>
      <c r="B1269" s="222">
        <v>8</v>
      </c>
      <c r="C1269" s="697" t="str">
        <f>'[1]4.NERACA'!C107</f>
        <v>Tugu Titik Kontrol/Pasti</v>
      </c>
      <c r="D1269" s="698"/>
      <c r="E1269" s="698"/>
      <c r="F1269" s="698"/>
      <c r="G1269" s="698"/>
      <c r="H1269" s="698"/>
      <c r="I1269" s="698"/>
      <c r="J1269" s="698"/>
      <c r="K1269" s="698"/>
      <c r="L1269" s="698"/>
      <c r="M1269" s="698"/>
      <c r="N1269" s="698"/>
      <c r="O1269" s="699"/>
      <c r="P1269" s="734">
        <f>'[1]4.NERACA'!I107</f>
        <v>0</v>
      </c>
      <c r="Q1269" s="735"/>
      <c r="R1269" s="735"/>
      <c r="S1269" s="735"/>
      <c r="T1269" s="735"/>
      <c r="U1269" s="736"/>
      <c r="V1269" s="23"/>
    </row>
    <row r="1270" spans="1:32" s="16" customFormat="1" ht="12.75" customHeight="1" x14ac:dyDescent="0.2">
      <c r="A1270" s="11"/>
      <c r="B1270" s="222">
        <v>9</v>
      </c>
      <c r="C1270" s="697" t="str">
        <f>'[1]4.NERACA'!C108</f>
        <v>Rambu-Rambu</v>
      </c>
      <c r="D1270" s="698"/>
      <c r="E1270" s="698"/>
      <c r="F1270" s="698"/>
      <c r="G1270" s="698"/>
      <c r="H1270" s="698"/>
      <c r="I1270" s="698"/>
      <c r="J1270" s="698"/>
      <c r="K1270" s="698"/>
      <c r="L1270" s="698"/>
      <c r="M1270" s="698"/>
      <c r="N1270" s="698"/>
      <c r="O1270" s="699"/>
      <c r="P1270" s="734">
        <f>'[1]4.NERACA'!I108</f>
        <v>0</v>
      </c>
      <c r="Q1270" s="735"/>
      <c r="R1270" s="735"/>
      <c r="S1270" s="735"/>
      <c r="T1270" s="735"/>
      <c r="U1270" s="736"/>
      <c r="V1270" s="23"/>
    </row>
    <row r="1271" spans="1:32" s="16" customFormat="1" ht="19.5" customHeight="1" x14ac:dyDescent="0.2">
      <c r="A1271" s="11"/>
      <c r="B1271" s="737" t="s">
        <v>205</v>
      </c>
      <c r="C1271" s="738"/>
      <c r="D1271" s="738"/>
      <c r="E1271" s="738"/>
      <c r="F1271" s="738"/>
      <c r="G1271" s="738"/>
      <c r="H1271" s="738"/>
      <c r="I1271" s="738"/>
      <c r="J1271" s="738"/>
      <c r="K1271" s="738"/>
      <c r="L1271" s="738"/>
      <c r="M1271" s="738"/>
      <c r="N1271" s="738"/>
      <c r="O1271" s="739"/>
      <c r="P1271" s="740">
        <f>SUM(P1262:U1270)</f>
        <v>25964686153</v>
      </c>
      <c r="Q1271" s="741"/>
      <c r="R1271" s="741"/>
      <c r="S1271" s="741"/>
      <c r="T1271" s="741"/>
      <c r="U1271" s="742"/>
      <c r="V1271" s="223"/>
    </row>
    <row r="1272" spans="1:32" s="16" customFormat="1" ht="18.75" customHeight="1" x14ac:dyDescent="0.2">
      <c r="A1272" s="11"/>
      <c r="B1272" s="203"/>
      <c r="C1272" s="117"/>
      <c r="D1272" s="117"/>
      <c r="E1272" s="117"/>
      <c r="F1272" s="117"/>
      <c r="G1272" s="117"/>
      <c r="H1272" s="117"/>
      <c r="I1272" s="117"/>
      <c r="J1272" s="117"/>
      <c r="K1272" s="117"/>
      <c r="L1272" s="117"/>
      <c r="M1272" s="117"/>
      <c r="N1272" s="117"/>
      <c r="O1272" s="117"/>
      <c r="P1272" s="117"/>
      <c r="Q1272" s="117"/>
      <c r="R1272" s="117"/>
      <c r="S1272" s="117"/>
      <c r="T1272" s="117"/>
      <c r="U1272" s="117"/>
      <c r="V1272" s="23"/>
    </row>
    <row r="1273" spans="1:32" s="16" customFormat="1" ht="30.75" customHeight="1" x14ac:dyDescent="0.2">
      <c r="A1273" s="11"/>
      <c r="B1273" s="407" t="s">
        <v>483</v>
      </c>
      <c r="C1273" s="407"/>
      <c r="D1273" s="407"/>
      <c r="E1273" s="407"/>
      <c r="F1273" s="407"/>
      <c r="G1273" s="407"/>
      <c r="H1273" s="407"/>
      <c r="I1273" s="407"/>
      <c r="J1273" s="407"/>
      <c r="K1273" s="407"/>
      <c r="L1273" s="407"/>
      <c r="M1273" s="407"/>
      <c r="N1273" s="407"/>
      <c r="O1273" s="407"/>
      <c r="P1273" s="407"/>
      <c r="Q1273" s="407"/>
      <c r="R1273" s="407"/>
      <c r="S1273" s="407"/>
      <c r="T1273" s="407"/>
      <c r="U1273" s="407"/>
      <c r="V1273" s="23"/>
    </row>
    <row r="1274" spans="1:32" s="16" customFormat="1" ht="15" customHeight="1" x14ac:dyDescent="0.2">
      <c r="A1274" s="11"/>
      <c r="B1274" s="77"/>
      <c r="C1274" s="77"/>
      <c r="D1274" s="77"/>
      <c r="E1274" s="77"/>
      <c r="F1274" s="77"/>
      <c r="G1274" s="77"/>
      <c r="H1274" s="77"/>
      <c r="I1274" s="77"/>
      <c r="J1274" s="77"/>
      <c r="K1274" s="77"/>
      <c r="L1274" s="77"/>
      <c r="M1274" s="77"/>
      <c r="N1274" s="77"/>
      <c r="O1274" s="77"/>
      <c r="P1274" s="77"/>
      <c r="Q1274" s="77"/>
      <c r="R1274" s="77"/>
      <c r="S1274" s="77"/>
      <c r="T1274" s="37"/>
      <c r="U1274" s="37"/>
      <c r="V1274" s="23"/>
    </row>
    <row r="1275" spans="1:32" s="16" customFormat="1" ht="18.75" customHeight="1" x14ac:dyDescent="0.2">
      <c r="A1275" s="429"/>
      <c r="B1275" s="224" t="s">
        <v>175</v>
      </c>
      <c r="C1275" s="629" t="s">
        <v>484</v>
      </c>
      <c r="D1275" s="629"/>
      <c r="E1275" s="629"/>
      <c r="F1275" s="629"/>
      <c r="G1275" s="629"/>
      <c r="H1275" s="629"/>
      <c r="I1275" s="629"/>
      <c r="J1275" s="629"/>
      <c r="K1275" s="629"/>
      <c r="L1275" s="629"/>
      <c r="M1275" s="629"/>
      <c r="N1275" s="629"/>
      <c r="O1275" s="629"/>
      <c r="P1275" s="629"/>
      <c r="Q1275" s="629"/>
      <c r="R1275" s="629"/>
      <c r="S1275" s="629"/>
      <c r="T1275" s="629"/>
      <c r="V1275" s="23"/>
    </row>
    <row r="1276" spans="1:32" s="16" customFormat="1" ht="64.5" customHeight="1" x14ac:dyDescent="0.2">
      <c r="A1276" s="429"/>
      <c r="C1276" s="407" t="str">
        <f>"Saldo "&amp;C1275&amp;" per "&amp;'[1]2.ISIAN DATA SKPD'!D8&amp;" dan "&amp;'[1]2.ISIAN DATA SKPD'!D12&amp;" adalah masing-masing sebesar Rp. "&amp;FIXED(R1281)&amp;" dan Rp. "&amp;FIXED(B1281)&amp;" mengalami kenaikan sebesar Rp. "&amp;FIXED(AC1281)&amp;" atau sebesar "&amp;FIXED(Y1281)&amp;"% dari tahun "&amp;'[1]2.ISIAN DATA SKPD'!D12&amp;"."</f>
        <v>Saldo Jalan, Jaringan dan Irigasi   per 31 Desember 2018 dan 2017 adalah masing-masing sebesar Rp. 2.752.875.191,00 dan Rp. 2.752.875.191,00 mengalami kenaikan sebesar Rp. 0,00 atau sebesar 0,00% dari tahun 2017.</v>
      </c>
      <c r="D1276" s="407"/>
      <c r="E1276" s="407"/>
      <c r="F1276" s="407"/>
      <c r="G1276" s="407"/>
      <c r="H1276" s="407"/>
      <c r="I1276" s="407"/>
      <c r="J1276" s="407"/>
      <c r="K1276" s="407"/>
      <c r="L1276" s="407"/>
      <c r="M1276" s="407"/>
      <c r="N1276" s="407"/>
      <c r="O1276" s="407"/>
      <c r="P1276" s="407"/>
      <c r="Q1276" s="407"/>
      <c r="R1276" s="407"/>
      <c r="S1276" s="407"/>
      <c r="T1276" s="407"/>
      <c r="U1276" s="407"/>
      <c r="V1276" s="23"/>
    </row>
    <row r="1277" spans="1:32" s="16" customFormat="1" ht="32.25" customHeight="1" x14ac:dyDescent="0.2">
      <c r="A1277" s="429"/>
      <c r="C1277" s="407" t="s">
        <v>485</v>
      </c>
      <c r="D1277" s="407"/>
      <c r="E1277" s="407"/>
      <c r="F1277" s="407"/>
      <c r="G1277" s="407"/>
      <c r="H1277" s="407"/>
      <c r="I1277" s="407"/>
      <c r="J1277" s="407"/>
      <c r="K1277" s="407"/>
      <c r="L1277" s="407"/>
      <c r="M1277" s="407"/>
      <c r="N1277" s="407"/>
      <c r="O1277" s="407"/>
      <c r="P1277" s="407"/>
      <c r="Q1277" s="407"/>
      <c r="R1277" s="407"/>
      <c r="S1277" s="407"/>
      <c r="T1277" s="407"/>
      <c r="U1277" s="407"/>
      <c r="V1277" s="23"/>
    </row>
    <row r="1278" spans="1:32" s="16" customFormat="1" ht="22.5" customHeight="1" x14ac:dyDescent="0.2">
      <c r="A1278" s="21"/>
      <c r="C1278" s="77"/>
      <c r="D1278" s="77"/>
      <c r="E1278" s="77"/>
      <c r="F1278" s="77"/>
      <c r="G1278" s="77"/>
      <c r="H1278" s="77"/>
      <c r="I1278" s="77"/>
      <c r="J1278" s="77"/>
      <c r="K1278" s="77"/>
      <c r="L1278" s="77"/>
      <c r="M1278" s="77"/>
      <c r="N1278" s="77"/>
      <c r="O1278" s="77"/>
      <c r="P1278" s="77"/>
      <c r="Q1278" s="77"/>
      <c r="R1278" s="77"/>
      <c r="S1278" s="77"/>
      <c r="T1278" s="77"/>
      <c r="U1278" s="77"/>
      <c r="V1278" s="23"/>
    </row>
    <row r="1279" spans="1:32" s="16" customFormat="1" ht="16.5" customHeight="1" x14ac:dyDescent="0.2">
      <c r="A1279" s="567" t="s">
        <v>125</v>
      </c>
      <c r="B1279" s="600" t="s">
        <v>443</v>
      </c>
      <c r="C1279" s="600"/>
      <c r="D1279" s="600"/>
      <c r="E1279" s="600"/>
      <c r="F1279" s="605" t="s">
        <v>444</v>
      </c>
      <c r="G1279" s="605"/>
      <c r="H1279" s="605"/>
      <c r="I1279" s="605"/>
      <c r="J1279" s="605"/>
      <c r="K1279" s="605"/>
      <c r="L1279" s="605" t="s">
        <v>445</v>
      </c>
      <c r="M1279" s="605"/>
      <c r="N1279" s="605"/>
      <c r="O1279" s="605"/>
      <c r="P1279" s="605"/>
      <c r="Q1279" s="605"/>
      <c r="R1279" s="600" t="s">
        <v>446</v>
      </c>
      <c r="S1279" s="600"/>
      <c r="T1279" s="600"/>
      <c r="U1279" s="600"/>
      <c r="V1279" s="23"/>
    </row>
    <row r="1280" spans="1:32" s="16" customFormat="1" ht="15" customHeight="1" x14ac:dyDescent="0.2">
      <c r="A1280" s="568"/>
      <c r="B1280" s="732">
        <f>B1238</f>
        <v>2017</v>
      </c>
      <c r="C1280" s="600"/>
      <c r="D1280" s="600"/>
      <c r="E1280" s="600"/>
      <c r="F1280" s="600" t="s">
        <v>447</v>
      </c>
      <c r="G1280" s="600"/>
      <c r="H1280" s="600"/>
      <c r="I1280" s="599" t="s">
        <v>448</v>
      </c>
      <c r="J1280" s="599"/>
      <c r="K1280" s="599"/>
      <c r="L1280" s="600" t="s">
        <v>447</v>
      </c>
      <c r="M1280" s="600"/>
      <c r="N1280" s="600"/>
      <c r="O1280" s="601" t="s">
        <v>448</v>
      </c>
      <c r="P1280" s="601"/>
      <c r="Q1280" s="601"/>
      <c r="R1280" s="713">
        <f>R1238</f>
        <v>2018</v>
      </c>
      <c r="S1280" s="714"/>
      <c r="T1280" s="714"/>
      <c r="U1280" s="715"/>
      <c r="V1280" s="487"/>
      <c r="W1280" s="480"/>
      <c r="X1280" s="480"/>
      <c r="Y1280" s="471" t="s">
        <v>449</v>
      </c>
      <c r="Z1280" s="480"/>
      <c r="AA1280" s="480"/>
      <c r="AB1280" s="480"/>
      <c r="AC1280" s="488" t="s">
        <v>438</v>
      </c>
      <c r="AD1280" s="489"/>
      <c r="AE1280" s="489"/>
      <c r="AF1280" s="489"/>
    </row>
    <row r="1281" spans="1:32" s="16" customFormat="1" ht="44.25" customHeight="1" x14ac:dyDescent="0.2">
      <c r="A1281" s="200" t="str">
        <f>C1275</f>
        <v xml:space="preserve">Jalan, Jaringan dan Irigasi  </v>
      </c>
      <c r="B1281" s="689">
        <f>'[1]4.NERACA'!D109</f>
        <v>2752875191</v>
      </c>
      <c r="C1281" s="689"/>
      <c r="D1281" s="689"/>
      <c r="E1281" s="689"/>
      <c r="F1281" s="733">
        <f>'[1]4.NERACA'!E109</f>
        <v>0</v>
      </c>
      <c r="G1281" s="733"/>
      <c r="H1281" s="733"/>
      <c r="I1281" s="690">
        <f>'[1]4.NERACA'!F109</f>
        <v>0</v>
      </c>
      <c r="J1281" s="690"/>
      <c r="K1281" s="690"/>
      <c r="L1281" s="733">
        <f>'[1]4.NERACA'!G109</f>
        <v>0</v>
      </c>
      <c r="M1281" s="733"/>
      <c r="N1281" s="733"/>
      <c r="O1281" s="689">
        <f>'[1]4.NERACA'!H109</f>
        <v>0</v>
      </c>
      <c r="P1281" s="689"/>
      <c r="Q1281" s="689"/>
      <c r="R1281" s="689">
        <f>B1281+F1281-I1281+L1281-O1281</f>
        <v>2752875191</v>
      </c>
      <c r="S1281" s="689"/>
      <c r="T1281" s="689"/>
      <c r="U1281" s="689"/>
      <c r="V1281" s="479"/>
      <c r="W1281" s="480"/>
      <c r="X1281" s="480"/>
      <c r="Y1281" s="471">
        <f>(R1281-B1281)/B1281*100</f>
        <v>0</v>
      </c>
      <c r="Z1281" s="480"/>
      <c r="AA1281" s="480"/>
      <c r="AB1281" s="480"/>
      <c r="AC1281" s="471">
        <f>R1281-B1281</f>
        <v>0</v>
      </c>
      <c r="AD1281" s="472"/>
      <c r="AE1281" s="472"/>
      <c r="AF1281" s="472"/>
    </row>
    <row r="1282" spans="1:32" s="16" customFormat="1" ht="15" customHeight="1" x14ac:dyDescent="0.2">
      <c r="A1282" s="11"/>
      <c r="B1282" s="648" t="s">
        <v>450</v>
      </c>
      <c r="C1282" s="648"/>
      <c r="D1282" s="648"/>
      <c r="E1282" s="648"/>
      <c r="F1282" s="648"/>
      <c r="G1282" s="648"/>
      <c r="H1282" s="648"/>
      <c r="I1282" s="648"/>
      <c r="J1282" s="648"/>
      <c r="K1282" s="648"/>
      <c r="L1282" s="648"/>
      <c r="M1282" s="648"/>
      <c r="N1282" s="663"/>
      <c r="O1282" s="663"/>
      <c r="P1282" s="663"/>
      <c r="Q1282" s="663"/>
      <c r="R1282" s="663"/>
      <c r="S1282" s="663"/>
      <c r="T1282" s="663"/>
      <c r="U1282" s="663"/>
      <c r="V1282" s="23"/>
    </row>
    <row r="1283" spans="1:32" s="16" customFormat="1" ht="15" customHeight="1" x14ac:dyDescent="0.2">
      <c r="A1283" s="11"/>
      <c r="B1283" s="202" t="s">
        <v>160</v>
      </c>
      <c r="C1283" s="402" t="str">
        <f>'[1]4.NERACA'!C110</f>
        <v>Jalan</v>
      </c>
      <c r="D1283" s="402"/>
      <c r="E1283" s="402"/>
      <c r="F1283" s="402"/>
      <c r="G1283" s="402"/>
      <c r="H1283" s="402"/>
      <c r="I1283" s="402"/>
      <c r="J1283" s="402"/>
      <c r="K1283" s="402"/>
      <c r="L1283" s="402"/>
      <c r="M1283" s="402"/>
      <c r="N1283" s="402"/>
      <c r="O1283" s="402"/>
      <c r="P1283" s="402"/>
      <c r="Q1283" s="402"/>
      <c r="R1283" s="402"/>
      <c r="S1283" s="402"/>
      <c r="T1283" s="402"/>
      <c r="U1283" s="402"/>
      <c r="V1283" s="23"/>
    </row>
    <row r="1284" spans="1:32" s="16" customFormat="1" ht="63.75" customHeight="1" x14ac:dyDescent="0.2">
      <c r="A1284" s="11"/>
      <c r="C1284" s="407" t="str">
        <f>"Nilai aset tetap berupa "&amp;C1283&amp;"  per "&amp;'[1]2.ISIAN DATA SKPD'!D8&amp;" dan  "&amp;'[1]2.ISIAN DATA SKPD'!D12&amp;" adalah sebesar Rp. "&amp;FIXED(R1288)&amp;" dan Rp. "&amp;FIXED(B1288)&amp;" mengalami kenaikan sebesar Rp. "&amp;FIXED(AC1288)&amp;" atau sebesar "&amp;FIXED(Y1288)&amp;"% dari tahun "&amp;'[1]2.ISIAN DATA SKPD'!D12&amp;"."</f>
        <v>Nilai aset tetap berupa Jalan  per 31 Desember 2018 dan  2017 adalah sebesar Rp. 1.536.268.060,00 dan Rp. 1.536.268.060,00 mengalami kenaikan sebesar Rp. 0,00 atau sebesar 0,00% dari tahun 2017.</v>
      </c>
      <c r="D1284" s="407"/>
      <c r="E1284" s="407"/>
      <c r="F1284" s="407"/>
      <c r="G1284" s="407"/>
      <c r="H1284" s="407"/>
      <c r="I1284" s="407"/>
      <c r="J1284" s="407"/>
      <c r="K1284" s="407"/>
      <c r="L1284" s="407"/>
      <c r="M1284" s="407"/>
      <c r="N1284" s="407"/>
      <c r="O1284" s="407"/>
      <c r="P1284" s="407"/>
      <c r="Q1284" s="407"/>
      <c r="R1284" s="407"/>
      <c r="S1284" s="407"/>
      <c r="T1284" s="407"/>
      <c r="U1284" s="407"/>
      <c r="V1284" s="23"/>
    </row>
    <row r="1285" spans="1:32" s="16" customFormat="1" ht="18.75" customHeight="1" x14ac:dyDescent="0.2">
      <c r="A1285" s="11"/>
      <c r="B1285" s="77"/>
      <c r="C1285" s="407" t="str">
        <f>"Dengan mutasi  selama tahun "&amp;'[1]2.ISIAN DATA SKPD'!D11&amp;" sebagai berikut :"</f>
        <v>Dengan mutasi  selama tahun 2018 sebagai berikut :</v>
      </c>
      <c r="D1285" s="407"/>
      <c r="E1285" s="407"/>
      <c r="F1285" s="407"/>
      <c r="G1285" s="407"/>
      <c r="H1285" s="407"/>
      <c r="I1285" s="407"/>
      <c r="J1285" s="407"/>
      <c r="K1285" s="407"/>
      <c r="L1285" s="407"/>
      <c r="M1285" s="407"/>
      <c r="N1285" s="407"/>
      <c r="O1285" s="407"/>
      <c r="P1285" s="407"/>
      <c r="Q1285" s="407"/>
      <c r="R1285" s="407"/>
      <c r="S1285" s="407"/>
      <c r="T1285" s="407"/>
      <c r="U1285" s="407"/>
      <c r="V1285" s="23"/>
    </row>
    <row r="1286" spans="1:32" s="16" customFormat="1" ht="15" customHeight="1" x14ac:dyDescent="0.2">
      <c r="A1286" s="567" t="s">
        <v>125</v>
      </c>
      <c r="B1286" s="600" t="s">
        <v>443</v>
      </c>
      <c r="C1286" s="600"/>
      <c r="D1286" s="600"/>
      <c r="E1286" s="600"/>
      <c r="F1286" s="605" t="s">
        <v>444</v>
      </c>
      <c r="G1286" s="605"/>
      <c r="H1286" s="605"/>
      <c r="I1286" s="605"/>
      <c r="J1286" s="605"/>
      <c r="K1286" s="605"/>
      <c r="L1286" s="605" t="s">
        <v>445</v>
      </c>
      <c r="M1286" s="605"/>
      <c r="N1286" s="605"/>
      <c r="O1286" s="605"/>
      <c r="P1286" s="605"/>
      <c r="Q1286" s="605"/>
      <c r="R1286" s="713" t="s">
        <v>446</v>
      </c>
      <c r="S1286" s="714"/>
      <c r="T1286" s="714"/>
      <c r="U1286" s="715"/>
      <c r="V1286" s="23"/>
    </row>
    <row r="1287" spans="1:32" s="16" customFormat="1" ht="15" customHeight="1" x14ac:dyDescent="0.2">
      <c r="A1287" s="568"/>
      <c r="B1287" s="600">
        <f>B1280</f>
        <v>2017</v>
      </c>
      <c r="C1287" s="600"/>
      <c r="D1287" s="600"/>
      <c r="E1287" s="600"/>
      <c r="F1287" s="600" t="s">
        <v>447</v>
      </c>
      <c r="G1287" s="600"/>
      <c r="H1287" s="600"/>
      <c r="I1287" s="599" t="s">
        <v>448</v>
      </c>
      <c r="J1287" s="599"/>
      <c r="K1287" s="599"/>
      <c r="L1287" s="600" t="s">
        <v>447</v>
      </c>
      <c r="M1287" s="600"/>
      <c r="N1287" s="600"/>
      <c r="O1287" s="601" t="s">
        <v>448</v>
      </c>
      <c r="P1287" s="601"/>
      <c r="Q1287" s="601"/>
      <c r="R1287" s="713">
        <f>R1280</f>
        <v>2018</v>
      </c>
      <c r="S1287" s="714"/>
      <c r="T1287" s="714"/>
      <c r="U1287" s="715"/>
      <c r="V1287" s="487"/>
      <c r="W1287" s="480"/>
      <c r="X1287" s="480"/>
      <c r="Y1287" s="471" t="s">
        <v>449</v>
      </c>
      <c r="Z1287" s="480"/>
      <c r="AA1287" s="480"/>
      <c r="AB1287" s="480"/>
      <c r="AC1287" s="488" t="s">
        <v>438</v>
      </c>
      <c r="AD1287" s="489"/>
      <c r="AE1287" s="489"/>
      <c r="AF1287" s="489"/>
    </row>
    <row r="1288" spans="1:32" s="16" customFormat="1" ht="15" customHeight="1" x14ac:dyDescent="0.2">
      <c r="A1288" s="200" t="str">
        <f>C1283</f>
        <v>Jalan</v>
      </c>
      <c r="B1288" s="580">
        <f>'[1]4.NERACA'!D110</f>
        <v>1536268060</v>
      </c>
      <c r="C1288" s="581"/>
      <c r="D1288" s="581"/>
      <c r="E1288" s="582"/>
      <c r="F1288" s="580">
        <f>'[1]4.NERACA'!E110</f>
        <v>0</v>
      </c>
      <c r="G1288" s="581"/>
      <c r="H1288" s="582"/>
      <c r="I1288" s="682">
        <f>'[1]4.NERACA'!F110</f>
        <v>0</v>
      </c>
      <c r="J1288" s="683"/>
      <c r="K1288" s="684"/>
      <c r="L1288" s="716">
        <f>'[1]4.NERACA'!G110</f>
        <v>0</v>
      </c>
      <c r="M1288" s="717"/>
      <c r="N1288" s="718"/>
      <c r="O1288" s="580">
        <f>'[1]4.NERACA'!H110</f>
        <v>0</v>
      </c>
      <c r="P1288" s="581"/>
      <c r="Q1288" s="582"/>
      <c r="R1288" s="650">
        <f>B1288+F1288-I1288+L1288-O1288</f>
        <v>1536268060</v>
      </c>
      <c r="S1288" s="651"/>
      <c r="T1288" s="651"/>
      <c r="U1288" s="652"/>
      <c r="V1288" s="479"/>
      <c r="W1288" s="480"/>
      <c r="X1288" s="480"/>
      <c r="Y1288" s="471">
        <f>(R1288-B1288)/B1288*100</f>
        <v>0</v>
      </c>
      <c r="Z1288" s="480"/>
      <c r="AA1288" s="480"/>
      <c r="AB1288" s="480"/>
      <c r="AC1288" s="471">
        <f>R1288-B1288</f>
        <v>0</v>
      </c>
      <c r="AD1288" s="472"/>
      <c r="AE1288" s="472"/>
      <c r="AF1288" s="472"/>
    </row>
    <row r="1289" spans="1:32" s="16" customFormat="1" ht="15" customHeight="1" x14ac:dyDescent="0.2">
      <c r="A1289" s="11"/>
      <c r="B1289" s="408" t="s">
        <v>461</v>
      </c>
      <c r="C1289" s="408"/>
      <c r="D1289" s="408"/>
      <c r="E1289" s="408"/>
      <c r="F1289" s="408"/>
      <c r="G1289" s="408"/>
      <c r="H1289" s="408"/>
      <c r="I1289" s="408"/>
      <c r="J1289" s="408"/>
      <c r="K1289" s="408"/>
      <c r="L1289" s="408"/>
      <c r="M1289" s="408"/>
      <c r="N1289" s="408"/>
      <c r="O1289" s="408"/>
      <c r="P1289" s="408"/>
      <c r="Q1289" s="408"/>
      <c r="R1289" s="408"/>
      <c r="S1289" s="408"/>
      <c r="T1289" s="408"/>
      <c r="U1289" s="408"/>
      <c r="V1289" s="23"/>
    </row>
    <row r="1290" spans="1:32" s="16" customFormat="1" ht="15" customHeight="1" x14ac:dyDescent="0.2">
      <c r="A1290" s="11"/>
      <c r="B1290" s="125"/>
      <c r="C1290" s="408" t="s">
        <v>462</v>
      </c>
      <c r="D1290" s="408"/>
      <c r="E1290" s="408"/>
      <c r="F1290" s="408"/>
      <c r="G1290" s="408"/>
      <c r="H1290" s="408"/>
      <c r="I1290" s="408"/>
      <c r="J1290" s="408"/>
      <c r="K1290" s="408"/>
      <c r="L1290" s="408"/>
      <c r="M1290" s="408"/>
      <c r="N1290" s="408"/>
      <c r="O1290" s="408"/>
      <c r="P1290" s="408"/>
      <c r="Q1290" s="408"/>
      <c r="R1290" s="408"/>
      <c r="S1290" s="408"/>
      <c r="T1290" s="408"/>
      <c r="U1290" s="408"/>
      <c r="V1290" s="23"/>
    </row>
    <row r="1291" spans="1:32" s="16" customFormat="1" ht="49.5" customHeight="1" x14ac:dyDescent="0.2">
      <c r="A1291" s="11"/>
      <c r="B1291" s="125"/>
      <c r="C1291" s="408" t="str">
        <f>"Mutasi Debet sebesar Rp. "&amp;FIXED(F1288+L1288)&amp;" adalah hasil pengadaan barang tahun "&amp;'[1]2.ISIAN DATA SKPD'!D11&amp;" dari belanja modal berupa Belanja Modal Jalan dan Irigasi Pengadaan jalan kabupaten/kota"</f>
        <v>Mutasi Debet sebesar Rp. 0,00 adalah hasil pengadaan barang tahun 2018 dari belanja modal berupa Belanja Modal Jalan dan Irigasi Pengadaan jalan kabupaten/kota</v>
      </c>
      <c r="D1291" s="408"/>
      <c r="E1291" s="408"/>
      <c r="F1291" s="408"/>
      <c r="G1291" s="408"/>
      <c r="H1291" s="408"/>
      <c r="I1291" s="408"/>
      <c r="J1291" s="408"/>
      <c r="K1291" s="408"/>
      <c r="L1291" s="408"/>
      <c r="M1291" s="408"/>
      <c r="N1291" s="408"/>
      <c r="O1291" s="408"/>
      <c r="P1291" s="408"/>
      <c r="Q1291" s="408"/>
      <c r="R1291" s="408"/>
      <c r="S1291" s="408"/>
      <c r="T1291" s="408"/>
      <c r="U1291" s="408"/>
      <c r="V1291" s="23"/>
    </row>
    <row r="1292" spans="1:32" s="16" customFormat="1" ht="18.75" customHeight="1" x14ac:dyDescent="0.2">
      <c r="A1292" s="11"/>
      <c r="B1292" s="125"/>
      <c r="C1292" s="37"/>
      <c r="D1292" s="37"/>
      <c r="E1292" s="37"/>
      <c r="F1292" s="37"/>
      <c r="G1292" s="37"/>
      <c r="H1292" s="37"/>
      <c r="I1292" s="37"/>
      <c r="J1292" s="37"/>
      <c r="K1292" s="37"/>
      <c r="L1292" s="37"/>
      <c r="M1292" s="37"/>
      <c r="N1292" s="37"/>
      <c r="O1292" s="37"/>
      <c r="P1292" s="37"/>
      <c r="Q1292" s="37"/>
      <c r="R1292" s="37"/>
      <c r="S1292" s="37"/>
      <c r="T1292" s="37"/>
      <c r="U1292" s="37"/>
      <c r="V1292" s="23"/>
    </row>
    <row r="1293" spans="1:32" s="16" customFormat="1" ht="15" customHeight="1" x14ac:dyDescent="0.2">
      <c r="A1293" s="11"/>
      <c r="B1293" s="125"/>
      <c r="C1293" s="408" t="s">
        <v>463</v>
      </c>
      <c r="D1293" s="408"/>
      <c r="E1293" s="408"/>
      <c r="F1293" s="408"/>
      <c r="G1293" s="408"/>
      <c r="H1293" s="408"/>
      <c r="I1293" s="408"/>
      <c r="J1293" s="408"/>
      <c r="K1293" s="408"/>
      <c r="L1293" s="408"/>
      <c r="M1293" s="408"/>
      <c r="N1293" s="408"/>
      <c r="O1293" s="408"/>
      <c r="P1293" s="408"/>
      <c r="Q1293" s="408"/>
      <c r="R1293" s="408"/>
      <c r="S1293" s="408"/>
      <c r="T1293" s="408"/>
      <c r="U1293" s="408"/>
      <c r="V1293" s="23"/>
    </row>
    <row r="1294" spans="1:32" s="16" customFormat="1" ht="18.75" customHeight="1" x14ac:dyDescent="0.2">
      <c r="A1294" s="11"/>
      <c r="B1294" s="203"/>
      <c r="C1294" s="408" t="str">
        <f>"Mutasi Kredit Rp. "&amp;FIXED(I1288+O1288)&amp;"."</f>
        <v>Mutasi Kredit Rp. 0,00.</v>
      </c>
      <c r="D1294" s="408"/>
      <c r="E1294" s="408"/>
      <c r="F1294" s="408"/>
      <c r="G1294" s="408"/>
      <c r="H1294" s="408"/>
      <c r="I1294" s="408"/>
      <c r="J1294" s="408"/>
      <c r="K1294" s="408"/>
      <c r="L1294" s="408"/>
      <c r="M1294" s="408"/>
      <c r="N1294" s="408"/>
      <c r="O1294" s="408"/>
      <c r="P1294" s="408"/>
      <c r="Q1294" s="408"/>
      <c r="R1294" s="408"/>
      <c r="S1294" s="408"/>
      <c r="T1294" s="408"/>
      <c r="U1294" s="408"/>
      <c r="V1294" s="23"/>
    </row>
    <row r="1295" spans="1:32" s="16" customFormat="1" ht="15" customHeight="1" x14ac:dyDescent="0.2">
      <c r="A1295" s="11"/>
      <c r="B1295" s="203"/>
      <c r="C1295" s="37"/>
      <c r="D1295" s="37"/>
      <c r="E1295" s="37"/>
      <c r="F1295" s="37"/>
      <c r="G1295" s="37"/>
      <c r="H1295" s="37"/>
      <c r="I1295" s="37"/>
      <c r="J1295" s="37"/>
      <c r="K1295" s="37"/>
      <c r="L1295" s="37"/>
      <c r="M1295" s="37"/>
      <c r="N1295" s="37"/>
      <c r="O1295" s="37"/>
      <c r="P1295" s="37"/>
      <c r="Q1295" s="37"/>
      <c r="R1295" s="37"/>
      <c r="S1295" s="37"/>
      <c r="T1295" s="37"/>
      <c r="U1295" s="37"/>
      <c r="V1295" s="23"/>
    </row>
    <row r="1296" spans="1:32" s="16" customFormat="1" ht="15" customHeight="1" x14ac:dyDescent="0.2">
      <c r="A1296" s="11"/>
      <c r="B1296" s="202" t="s">
        <v>153</v>
      </c>
      <c r="C1296" s="402" t="str">
        <f>'[1]4.NERACA'!C111</f>
        <v>Jembatan</v>
      </c>
      <c r="D1296" s="402"/>
      <c r="E1296" s="402"/>
      <c r="F1296" s="402"/>
      <c r="G1296" s="402"/>
      <c r="H1296" s="402"/>
      <c r="I1296" s="402"/>
      <c r="J1296" s="402"/>
      <c r="K1296" s="402"/>
      <c r="L1296" s="402"/>
      <c r="M1296" s="402"/>
      <c r="N1296" s="402"/>
      <c r="O1296" s="402"/>
      <c r="P1296" s="402"/>
      <c r="Q1296" s="402"/>
      <c r="R1296" s="402"/>
      <c r="S1296" s="402"/>
      <c r="T1296" s="402"/>
      <c r="U1296" s="402"/>
      <c r="V1296" s="23"/>
    </row>
    <row r="1297" spans="1:32" s="16" customFormat="1" ht="49.5" customHeight="1" x14ac:dyDescent="0.2">
      <c r="A1297" s="11"/>
      <c r="C1297" s="407" t="str">
        <f>"Nilai aset tetap berupa "&amp;C1296&amp;"  per "&amp;'[1]2.ISIAN DATA SKPD'!D8&amp;" dan  "&amp;'[1]2.ISIAN DATA SKPD'!D12&amp;" adalah sebesar Rp. "&amp;FIXED(R1302)&amp;" dan Rp. "&amp;FIXED(B1302)&amp;" tidak mengalami kenaikan/penurunan sebesar Rp. "&amp;FIXED(AC1302)&amp;" atau sebesar "&amp;FIXED(Y1302)&amp;"% dari tahun "&amp;'[1]2.ISIAN DATA SKPD'!D12&amp;"."</f>
        <v>Nilai aset tetap berupa Jembatan  per 31 Desember 2018 dan  2017 adalah sebesar Rp. 0,00 dan Rp. 0,00 tidak mengalami kenaikan/penurunan sebesar Rp. 0,00 atau sebesar 0,00% dari tahun 2017.</v>
      </c>
      <c r="D1297" s="407"/>
      <c r="E1297" s="407"/>
      <c r="F1297" s="407"/>
      <c r="G1297" s="407"/>
      <c r="H1297" s="407"/>
      <c r="I1297" s="407"/>
      <c r="J1297" s="407"/>
      <c r="K1297" s="407"/>
      <c r="L1297" s="407"/>
      <c r="M1297" s="407"/>
      <c r="N1297" s="407"/>
      <c r="O1297" s="407"/>
      <c r="P1297" s="407"/>
      <c r="Q1297" s="407"/>
      <c r="R1297" s="407"/>
      <c r="S1297" s="407"/>
      <c r="T1297" s="407"/>
      <c r="U1297" s="407"/>
      <c r="V1297" s="23"/>
    </row>
    <row r="1298" spans="1:32" s="16" customFormat="1" ht="18" customHeight="1" x14ac:dyDescent="0.2">
      <c r="A1298" s="11"/>
      <c r="B1298" s="77"/>
      <c r="C1298" s="407" t="str">
        <f>"Dengan mutasi  selama tahun "&amp;'[1]2.ISIAN DATA SKPD'!D11&amp;" sebagai berikut :"</f>
        <v>Dengan mutasi  selama tahun 2018 sebagai berikut :</v>
      </c>
      <c r="D1298" s="407"/>
      <c r="E1298" s="407"/>
      <c r="F1298" s="407"/>
      <c r="G1298" s="407"/>
      <c r="H1298" s="407"/>
      <c r="I1298" s="407"/>
      <c r="J1298" s="407"/>
      <c r="K1298" s="407"/>
      <c r="L1298" s="407"/>
      <c r="M1298" s="407"/>
      <c r="N1298" s="407"/>
      <c r="O1298" s="407"/>
      <c r="P1298" s="407"/>
      <c r="Q1298" s="407"/>
      <c r="R1298" s="407"/>
      <c r="S1298" s="407"/>
      <c r="T1298" s="407"/>
      <c r="U1298" s="407"/>
      <c r="V1298" s="23"/>
    </row>
    <row r="1299" spans="1:32" s="16" customFormat="1" ht="15" customHeight="1" x14ac:dyDescent="0.2">
      <c r="A1299" s="11"/>
      <c r="B1299" s="77"/>
      <c r="C1299" s="77"/>
      <c r="D1299" s="77"/>
      <c r="E1299" s="77"/>
      <c r="F1299" s="77"/>
      <c r="G1299" s="77"/>
      <c r="H1299" s="77"/>
      <c r="I1299" s="77"/>
      <c r="J1299" s="77"/>
      <c r="K1299" s="77"/>
      <c r="L1299" s="77"/>
      <c r="M1299" s="77"/>
      <c r="N1299" s="77"/>
      <c r="O1299" s="77"/>
      <c r="P1299" s="77"/>
      <c r="Q1299" s="77"/>
      <c r="R1299" s="77"/>
      <c r="S1299" s="77"/>
      <c r="T1299" s="77"/>
      <c r="U1299" s="77"/>
      <c r="V1299" s="23"/>
    </row>
    <row r="1300" spans="1:32" s="16" customFormat="1" ht="15" customHeight="1" x14ac:dyDescent="0.2">
      <c r="A1300" s="567" t="s">
        <v>125</v>
      </c>
      <c r="B1300" s="600" t="s">
        <v>443</v>
      </c>
      <c r="C1300" s="600"/>
      <c r="D1300" s="600"/>
      <c r="E1300" s="600"/>
      <c r="F1300" s="605" t="s">
        <v>444</v>
      </c>
      <c r="G1300" s="605"/>
      <c r="H1300" s="605"/>
      <c r="I1300" s="605"/>
      <c r="J1300" s="605"/>
      <c r="K1300" s="605"/>
      <c r="L1300" s="605" t="s">
        <v>445</v>
      </c>
      <c r="M1300" s="605"/>
      <c r="N1300" s="605"/>
      <c r="O1300" s="605"/>
      <c r="P1300" s="605"/>
      <c r="Q1300" s="605"/>
      <c r="R1300" s="600" t="s">
        <v>446</v>
      </c>
      <c r="S1300" s="600"/>
      <c r="T1300" s="600"/>
      <c r="U1300" s="600"/>
      <c r="V1300" s="23"/>
    </row>
    <row r="1301" spans="1:32" s="16" customFormat="1" ht="15" customHeight="1" x14ac:dyDescent="0.2">
      <c r="A1301" s="568"/>
      <c r="B1301" s="732">
        <f>B1287</f>
        <v>2017</v>
      </c>
      <c r="C1301" s="600"/>
      <c r="D1301" s="600"/>
      <c r="E1301" s="600"/>
      <c r="F1301" s="600" t="s">
        <v>447</v>
      </c>
      <c r="G1301" s="600"/>
      <c r="H1301" s="600"/>
      <c r="I1301" s="599" t="s">
        <v>448</v>
      </c>
      <c r="J1301" s="599"/>
      <c r="K1301" s="599"/>
      <c r="L1301" s="600" t="s">
        <v>447</v>
      </c>
      <c r="M1301" s="600"/>
      <c r="N1301" s="600"/>
      <c r="O1301" s="601" t="s">
        <v>448</v>
      </c>
      <c r="P1301" s="601"/>
      <c r="Q1301" s="601"/>
      <c r="R1301" s="713">
        <f>R1287</f>
        <v>2018</v>
      </c>
      <c r="S1301" s="714"/>
      <c r="T1301" s="714"/>
      <c r="U1301" s="715"/>
      <c r="V1301" s="487"/>
      <c r="W1301" s="480"/>
      <c r="X1301" s="480"/>
      <c r="Y1301" s="471" t="s">
        <v>449</v>
      </c>
      <c r="Z1301" s="480"/>
      <c r="AA1301" s="480"/>
      <c r="AB1301" s="480"/>
      <c r="AC1301" s="488" t="s">
        <v>438</v>
      </c>
      <c r="AD1301" s="489"/>
      <c r="AE1301" s="489"/>
      <c r="AF1301" s="489"/>
    </row>
    <row r="1302" spans="1:32" s="16" customFormat="1" ht="17.25" customHeight="1" x14ac:dyDescent="0.2">
      <c r="A1302" s="200" t="str">
        <f>C1296</f>
        <v>Jembatan</v>
      </c>
      <c r="B1302" s="650">
        <f>'[1]4.NERACA'!D111</f>
        <v>0</v>
      </c>
      <c r="C1302" s="651"/>
      <c r="D1302" s="651"/>
      <c r="E1302" s="652"/>
      <c r="F1302" s="650">
        <f>'[1]4.NERACA'!E111</f>
        <v>0</v>
      </c>
      <c r="G1302" s="651"/>
      <c r="H1302" s="652"/>
      <c r="I1302" s="666">
        <f>'[1]4.NERACA'!F111</f>
        <v>0</v>
      </c>
      <c r="J1302" s="667"/>
      <c r="K1302" s="668"/>
      <c r="L1302" s="650">
        <f>'[1]4.NERACA'!G111</f>
        <v>0</v>
      </c>
      <c r="M1302" s="651"/>
      <c r="N1302" s="652"/>
      <c r="O1302" s="650">
        <f>'[1]4.NERACA'!H111</f>
        <v>0</v>
      </c>
      <c r="P1302" s="651"/>
      <c r="Q1302" s="652"/>
      <c r="R1302" s="650">
        <f>B1302+F1302-I1302+L1302-O1302</f>
        <v>0</v>
      </c>
      <c r="S1302" s="651"/>
      <c r="T1302" s="651"/>
      <c r="U1302" s="652"/>
      <c r="V1302" s="479"/>
      <c r="W1302" s="480"/>
      <c r="X1302" s="480"/>
      <c r="Y1302" s="471">
        <v>0</v>
      </c>
      <c r="Z1302" s="480"/>
      <c r="AA1302" s="480"/>
      <c r="AB1302" s="480"/>
      <c r="AC1302" s="471">
        <f>R1302-B1302</f>
        <v>0</v>
      </c>
      <c r="AD1302" s="472"/>
      <c r="AE1302" s="472"/>
      <c r="AF1302" s="472"/>
    </row>
    <row r="1303" spans="1:32" s="16" customFormat="1" ht="15" customHeight="1" x14ac:dyDescent="0.2">
      <c r="A1303" s="11"/>
      <c r="B1303" s="408" t="s">
        <v>461</v>
      </c>
      <c r="C1303" s="408"/>
      <c r="D1303" s="408"/>
      <c r="E1303" s="408"/>
      <c r="F1303" s="408"/>
      <c r="G1303" s="408"/>
      <c r="H1303" s="408"/>
      <c r="I1303" s="408"/>
      <c r="J1303" s="408"/>
      <c r="K1303" s="408"/>
      <c r="L1303" s="408"/>
      <c r="M1303" s="408"/>
      <c r="N1303" s="408"/>
      <c r="O1303" s="408"/>
      <c r="P1303" s="408"/>
      <c r="Q1303" s="408"/>
      <c r="R1303" s="408"/>
      <c r="S1303" s="408"/>
      <c r="T1303" s="408"/>
      <c r="U1303" s="408"/>
      <c r="V1303" s="23"/>
    </row>
    <row r="1304" spans="1:32" s="16" customFormat="1" ht="18.75" customHeight="1" x14ac:dyDescent="0.2">
      <c r="A1304" s="11"/>
      <c r="B1304" s="125"/>
      <c r="C1304" s="408" t="s">
        <v>462</v>
      </c>
      <c r="D1304" s="408"/>
      <c r="E1304" s="408"/>
      <c r="F1304" s="408"/>
      <c r="G1304" s="408"/>
      <c r="H1304" s="408"/>
      <c r="I1304" s="408"/>
      <c r="J1304" s="408"/>
      <c r="K1304" s="408"/>
      <c r="L1304" s="408"/>
      <c r="M1304" s="408"/>
      <c r="N1304" s="408"/>
      <c r="O1304" s="408"/>
      <c r="P1304" s="408"/>
      <c r="Q1304" s="408"/>
      <c r="R1304" s="408"/>
      <c r="S1304" s="408"/>
      <c r="T1304" s="408"/>
      <c r="U1304" s="408"/>
      <c r="V1304" s="23"/>
    </row>
    <row r="1305" spans="1:32" s="16" customFormat="1" ht="18.75" customHeight="1" x14ac:dyDescent="0.2">
      <c r="A1305" s="11"/>
      <c r="B1305" s="125"/>
      <c r="C1305" s="408" t="str">
        <f>"Mutasi Debet sebesar Rp. "&amp;FIXED(F1302+L1302)&amp;" ."</f>
        <v>Mutasi Debet sebesar Rp. 0,00 .</v>
      </c>
      <c r="D1305" s="408"/>
      <c r="E1305" s="408"/>
      <c r="F1305" s="408"/>
      <c r="G1305" s="408"/>
      <c r="H1305" s="408"/>
      <c r="I1305" s="408"/>
      <c r="J1305" s="408"/>
      <c r="K1305" s="408"/>
      <c r="L1305" s="408"/>
      <c r="M1305" s="408"/>
      <c r="N1305" s="408"/>
      <c r="O1305" s="408"/>
      <c r="P1305" s="408"/>
      <c r="Q1305" s="408"/>
      <c r="R1305" s="408"/>
      <c r="S1305" s="408"/>
      <c r="T1305" s="408"/>
      <c r="U1305" s="408"/>
      <c r="V1305" s="23"/>
    </row>
    <row r="1306" spans="1:32" s="16" customFormat="1" ht="20.25" customHeight="1" x14ac:dyDescent="0.2">
      <c r="A1306" s="11"/>
      <c r="B1306" s="203"/>
      <c r="C1306" s="408" t="s">
        <v>463</v>
      </c>
      <c r="D1306" s="408"/>
      <c r="E1306" s="408"/>
      <c r="F1306" s="408"/>
      <c r="G1306" s="408"/>
      <c r="H1306" s="408"/>
      <c r="I1306" s="408"/>
      <c r="J1306" s="408"/>
      <c r="K1306" s="408"/>
      <c r="L1306" s="408"/>
      <c r="M1306" s="408"/>
      <c r="N1306" s="408"/>
      <c r="O1306" s="408"/>
      <c r="P1306" s="408"/>
      <c r="Q1306" s="408"/>
      <c r="R1306" s="408"/>
      <c r="S1306" s="408"/>
      <c r="T1306" s="408"/>
      <c r="U1306" s="408"/>
      <c r="V1306" s="23"/>
    </row>
    <row r="1307" spans="1:32" s="16" customFormat="1" ht="19.5" customHeight="1" x14ac:dyDescent="0.2">
      <c r="A1307" s="11"/>
      <c r="B1307" s="203"/>
      <c r="C1307" s="408" t="str">
        <f>"Mutasi Kredit Rp. "&amp;FIXED(I1302+O1302)&amp;". "</f>
        <v xml:space="preserve">Mutasi Kredit Rp. 0,00. </v>
      </c>
      <c r="D1307" s="408"/>
      <c r="E1307" s="408"/>
      <c r="F1307" s="408"/>
      <c r="G1307" s="408"/>
      <c r="H1307" s="408"/>
      <c r="I1307" s="408"/>
      <c r="J1307" s="408"/>
      <c r="K1307" s="408"/>
      <c r="L1307" s="408"/>
      <c r="M1307" s="408"/>
      <c r="N1307" s="408"/>
      <c r="O1307" s="408"/>
      <c r="P1307" s="408"/>
      <c r="Q1307" s="408"/>
      <c r="R1307" s="408"/>
      <c r="S1307" s="408"/>
      <c r="T1307" s="408"/>
      <c r="U1307" s="408"/>
      <c r="V1307" s="23"/>
    </row>
    <row r="1308" spans="1:32" s="16" customFormat="1" ht="15" customHeight="1" x14ac:dyDescent="0.2">
      <c r="A1308" s="11"/>
      <c r="B1308" s="202" t="s">
        <v>154</v>
      </c>
      <c r="C1308" s="402" t="str">
        <f>'[1]4.NERACA'!C112</f>
        <v>Bangunan Air Irigasi</v>
      </c>
      <c r="D1308" s="402"/>
      <c r="E1308" s="402"/>
      <c r="F1308" s="402"/>
      <c r="G1308" s="402"/>
      <c r="H1308" s="402"/>
      <c r="I1308" s="402"/>
      <c r="J1308" s="402"/>
      <c r="K1308" s="402"/>
      <c r="L1308" s="402"/>
      <c r="M1308" s="402"/>
      <c r="N1308" s="402"/>
      <c r="O1308" s="402"/>
      <c r="P1308" s="402"/>
      <c r="Q1308" s="402"/>
      <c r="R1308" s="402"/>
      <c r="S1308" s="402"/>
      <c r="T1308" s="402"/>
      <c r="U1308" s="402"/>
      <c r="V1308" s="23"/>
    </row>
    <row r="1309" spans="1:32" s="16" customFormat="1" ht="59.25" customHeight="1" x14ac:dyDescent="0.2">
      <c r="A1309" s="11"/>
      <c r="C1309" s="407" t="str">
        <f>"Nilai aset tetap berupa "&amp;C1308&amp;"  per "&amp;'[1]2.ISIAN DATA SKPD'!D8&amp;" dan  "&amp;'[1]2.ISIAN DATA SKPD'!D32&amp;" adalah sebesar Rp. "&amp;FIXED(R1314)&amp;" dan Rp. "&amp;FIXED(B1314)&amp;" tidak mengalami kenaikan/penurunan sebesar Rp. "&amp;FIXED(AC1314)&amp;" atau sebesar "&amp;FIXED(Y1314)&amp;"% dari tahun "&amp;'[1]2.ISIAN DATA SKPD'!D12&amp;"."</f>
        <v>Nilai aset tetap berupa Bangunan Air Irigasi  per 31 Desember 2018 dan   adalah sebesar Rp. 122.332.953,00 dan Rp. 122.332.953,00 tidak mengalami kenaikan/penurunan sebesar Rp. 0,00 atau sebesar 0,00% dari tahun 2017.</v>
      </c>
      <c r="D1309" s="407"/>
      <c r="E1309" s="407"/>
      <c r="F1309" s="407"/>
      <c r="G1309" s="407"/>
      <c r="H1309" s="407"/>
      <c r="I1309" s="407"/>
      <c r="J1309" s="407"/>
      <c r="K1309" s="407"/>
      <c r="L1309" s="407"/>
      <c r="M1309" s="407"/>
      <c r="N1309" s="407"/>
      <c r="O1309" s="407"/>
      <c r="P1309" s="407"/>
      <c r="Q1309" s="407"/>
      <c r="R1309" s="407"/>
      <c r="S1309" s="407"/>
      <c r="T1309" s="407"/>
      <c r="U1309" s="407"/>
      <c r="V1309" s="23"/>
    </row>
    <row r="1310" spans="1:32" s="16" customFormat="1" ht="16.5" customHeight="1" x14ac:dyDescent="0.2">
      <c r="A1310" s="11"/>
      <c r="B1310" s="77"/>
      <c r="C1310" s="407" t="str">
        <f>"Dengan mutasi  selama tahun "&amp;'[1]2.ISIAN DATA SKPD'!D11&amp;" sebagai berikut :"</f>
        <v>Dengan mutasi  selama tahun 2018 sebagai berikut :</v>
      </c>
      <c r="D1310" s="407"/>
      <c r="E1310" s="407"/>
      <c r="F1310" s="407"/>
      <c r="G1310" s="407"/>
      <c r="H1310" s="407"/>
      <c r="I1310" s="407"/>
      <c r="J1310" s="407"/>
      <c r="K1310" s="407"/>
      <c r="L1310" s="407"/>
      <c r="M1310" s="407"/>
      <c r="N1310" s="407"/>
      <c r="O1310" s="407"/>
      <c r="P1310" s="407"/>
      <c r="Q1310" s="407"/>
      <c r="R1310" s="407"/>
      <c r="S1310" s="407"/>
      <c r="T1310" s="407"/>
      <c r="U1310" s="407"/>
      <c r="V1310" s="23"/>
    </row>
    <row r="1311" spans="1:32" s="16" customFormat="1" ht="9" customHeight="1" x14ac:dyDescent="0.2">
      <c r="A1311" s="11"/>
      <c r="B1311" s="77"/>
      <c r="C1311" s="225"/>
      <c r="D1311" s="225"/>
      <c r="E1311" s="225"/>
      <c r="F1311" s="225"/>
      <c r="G1311" s="225"/>
      <c r="H1311" s="225"/>
      <c r="I1311" s="225"/>
      <c r="J1311" s="225"/>
      <c r="K1311" s="225"/>
      <c r="L1311" s="225"/>
      <c r="M1311" s="225"/>
      <c r="N1311" s="225"/>
      <c r="O1311" s="225"/>
      <c r="P1311" s="225"/>
      <c r="Q1311" s="225"/>
      <c r="R1311" s="225"/>
      <c r="S1311" s="225"/>
      <c r="T1311" s="225"/>
      <c r="U1311" s="225"/>
      <c r="V1311" s="23"/>
    </row>
    <row r="1312" spans="1:32" s="16" customFormat="1" ht="15" customHeight="1" x14ac:dyDescent="0.2">
      <c r="A1312" s="567" t="s">
        <v>125</v>
      </c>
      <c r="B1312" s="602" t="s">
        <v>443</v>
      </c>
      <c r="C1312" s="603"/>
      <c r="D1312" s="603"/>
      <c r="E1312" s="604"/>
      <c r="F1312" s="605" t="s">
        <v>444</v>
      </c>
      <c r="G1312" s="605"/>
      <c r="H1312" s="605"/>
      <c r="I1312" s="605"/>
      <c r="J1312" s="605"/>
      <c r="K1312" s="605"/>
      <c r="L1312" s="605" t="s">
        <v>445</v>
      </c>
      <c r="M1312" s="605"/>
      <c r="N1312" s="605"/>
      <c r="O1312" s="605"/>
      <c r="P1312" s="605"/>
      <c r="Q1312" s="605"/>
      <c r="R1312" s="600" t="s">
        <v>446</v>
      </c>
      <c r="S1312" s="600"/>
      <c r="T1312" s="600"/>
      <c r="U1312" s="600"/>
      <c r="V1312" s="23"/>
    </row>
    <row r="1313" spans="1:32" s="16" customFormat="1" ht="15" customHeight="1" x14ac:dyDescent="0.2">
      <c r="A1313" s="568"/>
      <c r="B1313" s="729">
        <f>B1301</f>
        <v>2017</v>
      </c>
      <c r="C1313" s="730"/>
      <c r="D1313" s="730"/>
      <c r="E1313" s="731"/>
      <c r="F1313" s="600" t="s">
        <v>447</v>
      </c>
      <c r="G1313" s="600"/>
      <c r="H1313" s="600"/>
      <c r="I1313" s="599" t="s">
        <v>448</v>
      </c>
      <c r="J1313" s="599"/>
      <c r="K1313" s="599"/>
      <c r="L1313" s="600" t="s">
        <v>447</v>
      </c>
      <c r="M1313" s="600"/>
      <c r="N1313" s="600"/>
      <c r="O1313" s="601" t="s">
        <v>448</v>
      </c>
      <c r="P1313" s="601"/>
      <c r="Q1313" s="601"/>
      <c r="R1313" s="713">
        <f>R1301</f>
        <v>2018</v>
      </c>
      <c r="S1313" s="714"/>
      <c r="T1313" s="714"/>
      <c r="U1313" s="715"/>
      <c r="V1313" s="487"/>
      <c r="W1313" s="480"/>
      <c r="X1313" s="480"/>
      <c r="Y1313" s="471" t="s">
        <v>449</v>
      </c>
      <c r="Z1313" s="480"/>
      <c r="AA1313" s="480"/>
      <c r="AB1313" s="480"/>
      <c r="AC1313" s="488" t="s">
        <v>438</v>
      </c>
      <c r="AD1313" s="489"/>
      <c r="AE1313" s="489"/>
      <c r="AF1313" s="489"/>
    </row>
    <row r="1314" spans="1:32" s="16" customFormat="1" ht="29.25" customHeight="1" x14ac:dyDescent="0.2">
      <c r="A1314" s="200" t="str">
        <f>C1308</f>
        <v>Bangunan Air Irigasi</v>
      </c>
      <c r="B1314" s="650">
        <f>'[1]4.NERACA'!D112</f>
        <v>122332953</v>
      </c>
      <c r="C1314" s="651"/>
      <c r="D1314" s="651"/>
      <c r="E1314" s="652"/>
      <c r="F1314" s="650">
        <f>'[1]4.NERACA'!E112</f>
        <v>0</v>
      </c>
      <c r="G1314" s="651"/>
      <c r="H1314" s="652"/>
      <c r="I1314" s="666">
        <f>'[1]4.NERACA'!F112</f>
        <v>0</v>
      </c>
      <c r="J1314" s="667"/>
      <c r="K1314" s="668"/>
      <c r="L1314" s="650">
        <f>'[1]4.NERACA'!G112</f>
        <v>0</v>
      </c>
      <c r="M1314" s="651"/>
      <c r="N1314" s="652"/>
      <c r="O1314" s="650">
        <f>'[1]4.NERACA'!H112</f>
        <v>0</v>
      </c>
      <c r="P1314" s="651"/>
      <c r="Q1314" s="652"/>
      <c r="R1314" s="650">
        <f>B1314+F1314-I1314+L1314-O1314</f>
        <v>122332953</v>
      </c>
      <c r="S1314" s="651"/>
      <c r="T1314" s="651"/>
      <c r="U1314" s="652"/>
      <c r="V1314" s="479"/>
      <c r="W1314" s="480"/>
      <c r="X1314" s="480"/>
      <c r="Y1314" s="471">
        <f>(R1314-B1314)/B1314*100</f>
        <v>0</v>
      </c>
      <c r="Z1314" s="480"/>
      <c r="AA1314" s="480"/>
      <c r="AB1314" s="480"/>
      <c r="AC1314" s="471">
        <f>R1314-B1314</f>
        <v>0</v>
      </c>
      <c r="AD1314" s="472"/>
      <c r="AE1314" s="472"/>
      <c r="AF1314" s="472"/>
    </row>
    <row r="1315" spans="1:32" s="16" customFormat="1" ht="15" customHeight="1" x14ac:dyDescent="0.2">
      <c r="A1315" s="11"/>
      <c r="B1315" s="669" t="s">
        <v>461</v>
      </c>
      <c r="C1315" s="669"/>
      <c r="D1315" s="669"/>
      <c r="E1315" s="669"/>
      <c r="F1315" s="669"/>
      <c r="G1315" s="669"/>
      <c r="H1315" s="669"/>
      <c r="I1315" s="669"/>
      <c r="J1315" s="669"/>
      <c r="K1315" s="669"/>
      <c r="L1315" s="669"/>
      <c r="M1315" s="669"/>
      <c r="N1315" s="669"/>
      <c r="O1315" s="669"/>
      <c r="P1315" s="669"/>
      <c r="Q1315" s="669"/>
      <c r="R1315" s="669"/>
      <c r="S1315" s="669"/>
      <c r="T1315" s="669"/>
      <c r="U1315" s="669"/>
      <c r="V1315" s="23"/>
    </row>
    <row r="1316" spans="1:32" s="16" customFormat="1" ht="15" customHeight="1" x14ac:dyDescent="0.2">
      <c r="A1316" s="11"/>
      <c r="B1316" s="125"/>
      <c r="C1316" s="408" t="s">
        <v>462</v>
      </c>
      <c r="D1316" s="408"/>
      <c r="E1316" s="408"/>
      <c r="F1316" s="408"/>
      <c r="G1316" s="408"/>
      <c r="H1316" s="408"/>
      <c r="I1316" s="408"/>
      <c r="J1316" s="408"/>
      <c r="K1316" s="408"/>
      <c r="L1316" s="408"/>
      <c r="M1316" s="408"/>
      <c r="N1316" s="408"/>
      <c r="O1316" s="408"/>
      <c r="P1316" s="408"/>
      <c r="Q1316" s="408"/>
      <c r="R1316" s="408"/>
      <c r="S1316" s="408"/>
      <c r="T1316" s="408"/>
      <c r="U1316" s="408"/>
      <c r="V1316" s="23"/>
    </row>
    <row r="1317" spans="1:32" s="16" customFormat="1" ht="16.5" customHeight="1" x14ac:dyDescent="0.2">
      <c r="A1317" s="11"/>
      <c r="B1317" s="125"/>
      <c r="C1317" s="408" t="str">
        <f>"Mutasi Debet sebesar Rp. "&amp;FIXED(F1314+L1314)&amp;"."</f>
        <v>Mutasi Debet sebesar Rp. 0,00.</v>
      </c>
      <c r="D1317" s="408"/>
      <c r="E1317" s="408"/>
      <c r="F1317" s="408"/>
      <c r="G1317" s="408"/>
      <c r="H1317" s="408"/>
      <c r="I1317" s="408"/>
      <c r="J1317" s="408"/>
      <c r="K1317" s="408"/>
      <c r="L1317" s="408"/>
      <c r="M1317" s="408"/>
      <c r="N1317" s="408"/>
      <c r="O1317" s="408"/>
      <c r="P1317" s="408"/>
      <c r="Q1317" s="408"/>
      <c r="R1317" s="408"/>
      <c r="S1317" s="408"/>
      <c r="T1317" s="408"/>
      <c r="U1317" s="408"/>
      <c r="V1317" s="23"/>
    </row>
    <row r="1318" spans="1:32" s="16" customFormat="1" ht="15" customHeight="1" x14ac:dyDescent="0.2">
      <c r="A1318" s="11"/>
      <c r="B1318" s="125"/>
      <c r="C1318" s="408" t="s">
        <v>463</v>
      </c>
      <c r="D1318" s="408"/>
      <c r="E1318" s="408"/>
      <c r="F1318" s="408"/>
      <c r="G1318" s="408"/>
      <c r="H1318" s="408"/>
      <c r="I1318" s="408"/>
      <c r="J1318" s="408"/>
      <c r="K1318" s="408"/>
      <c r="L1318" s="408"/>
      <c r="M1318" s="408"/>
      <c r="N1318" s="408"/>
      <c r="O1318" s="408"/>
      <c r="P1318" s="408"/>
      <c r="Q1318" s="408"/>
      <c r="R1318" s="408"/>
      <c r="S1318" s="408"/>
      <c r="T1318" s="408"/>
      <c r="U1318" s="408"/>
      <c r="V1318" s="23"/>
    </row>
    <row r="1319" spans="1:32" s="16" customFormat="1" ht="21" customHeight="1" x14ac:dyDescent="0.2">
      <c r="A1319" s="11"/>
      <c r="B1319" s="203"/>
      <c r="C1319" s="408" t="str">
        <f>"Mutasi Kredit Rp. "&amp;FIXED(I1314+O1314)&amp;". "</f>
        <v xml:space="preserve">Mutasi Kredit Rp. 0,00. </v>
      </c>
      <c r="D1319" s="408"/>
      <c r="E1319" s="408"/>
      <c r="F1319" s="408"/>
      <c r="G1319" s="408"/>
      <c r="H1319" s="408"/>
      <c r="I1319" s="408"/>
      <c r="J1319" s="408"/>
      <c r="K1319" s="408"/>
      <c r="L1319" s="408"/>
      <c r="M1319" s="408"/>
      <c r="N1319" s="408"/>
      <c r="O1319" s="408"/>
      <c r="P1319" s="408"/>
      <c r="Q1319" s="408"/>
      <c r="R1319" s="408"/>
      <c r="S1319" s="408"/>
      <c r="T1319" s="408"/>
      <c r="U1319" s="408"/>
      <c r="V1319" s="23"/>
    </row>
    <row r="1320" spans="1:32" s="16" customFormat="1" ht="15" customHeight="1" x14ac:dyDescent="0.2">
      <c r="A1320" s="11"/>
      <c r="B1320" s="203"/>
      <c r="C1320" s="37"/>
      <c r="D1320" s="37"/>
      <c r="E1320" s="37"/>
      <c r="F1320" s="37"/>
      <c r="G1320" s="37"/>
      <c r="H1320" s="37"/>
      <c r="I1320" s="37"/>
      <c r="J1320" s="37"/>
      <c r="K1320" s="37"/>
      <c r="L1320" s="37"/>
      <c r="M1320" s="37"/>
      <c r="N1320" s="37"/>
      <c r="O1320" s="37"/>
      <c r="P1320" s="37"/>
      <c r="Q1320" s="37"/>
      <c r="R1320" s="37"/>
      <c r="S1320" s="37"/>
      <c r="T1320" s="37"/>
      <c r="U1320" s="37"/>
      <c r="V1320" s="23"/>
    </row>
    <row r="1321" spans="1:32" s="16" customFormat="1" ht="15" customHeight="1" x14ac:dyDescent="0.2">
      <c r="A1321" s="11"/>
      <c r="B1321" s="202" t="s">
        <v>155</v>
      </c>
      <c r="C1321" s="402" t="str">
        <f>'[1]4.NERACA'!C113</f>
        <v>Bangunan Pengaman Sungai dan Penanggulangan Bencana Alam</v>
      </c>
      <c r="D1321" s="402"/>
      <c r="E1321" s="402"/>
      <c r="F1321" s="402"/>
      <c r="G1321" s="402"/>
      <c r="H1321" s="402"/>
      <c r="I1321" s="402"/>
      <c r="J1321" s="402"/>
      <c r="K1321" s="402"/>
      <c r="L1321" s="402"/>
      <c r="M1321" s="402"/>
      <c r="N1321" s="402"/>
      <c r="O1321" s="402"/>
      <c r="P1321" s="402"/>
      <c r="Q1321" s="402"/>
      <c r="R1321" s="402"/>
      <c r="S1321" s="402"/>
      <c r="T1321" s="402"/>
      <c r="U1321" s="402"/>
      <c r="V1321" s="23"/>
    </row>
    <row r="1322" spans="1:32" s="16" customFormat="1" ht="65.25" customHeight="1" x14ac:dyDescent="0.2">
      <c r="A1322" s="11"/>
      <c r="C1322" s="407" t="str">
        <f>"Nilai aset tetap berupa "&amp;C1321&amp;"  per "&amp;'[1]2.ISIAN DATA SKPD'!D12&amp;" dan  "&amp;'[1]2.ISIAN DATA SKPD'!D43&amp;" adalah sebesar Rp. "&amp;FIXED(R1336)&amp;" dan Rp. "&amp;FIXED(B1336)&amp;" tidak  mengalami kenaikan/penurunan sebesar Rp. "&amp;FIXED(AC1336)&amp;" atau sebesar "&amp;FIXED(Y1336)&amp;"% tahun "&amp;'[1]2.ISIAN DATA SKPD'!D12&amp;"."</f>
        <v>Nilai aset tetap berupa Bangunan Pengaman Sungai dan Penanggulangan Bencana Alam  per 2017 dan   adalah sebesar Rp. 0,00 dan Rp. 0,00 tidak  mengalami kenaikan/penurunan sebesar Rp. 0,00 atau sebesar 0,00% tahun 2017.</v>
      </c>
      <c r="D1322" s="407"/>
      <c r="E1322" s="407"/>
      <c r="F1322" s="407"/>
      <c r="G1322" s="407"/>
      <c r="H1322" s="407"/>
      <c r="I1322" s="407"/>
      <c r="J1322" s="407"/>
      <c r="K1322" s="407"/>
      <c r="L1322" s="407"/>
      <c r="M1322" s="407"/>
      <c r="N1322" s="407"/>
      <c r="O1322" s="407"/>
      <c r="P1322" s="407"/>
      <c r="Q1322" s="407"/>
      <c r="R1322" s="407"/>
      <c r="S1322" s="407"/>
      <c r="T1322" s="407"/>
      <c r="U1322" s="407"/>
      <c r="V1322" s="23"/>
    </row>
    <row r="1323" spans="1:32" s="16" customFormat="1" ht="14.25" customHeight="1" x14ac:dyDescent="0.2">
      <c r="A1323" s="11"/>
      <c r="B1323" s="77"/>
      <c r="C1323" s="407" t="str">
        <f>"Dengan mutasi  selama tahun "&amp;'[1]2.ISIAN DATA SKPD'!D11&amp;" sebagai berikut :"</f>
        <v>Dengan mutasi  selama tahun 2018 sebagai berikut :</v>
      </c>
      <c r="D1323" s="407"/>
      <c r="E1323" s="407"/>
      <c r="F1323" s="407"/>
      <c r="G1323" s="407"/>
      <c r="H1323" s="407"/>
      <c r="I1323" s="407"/>
      <c r="J1323" s="407"/>
      <c r="K1323" s="407"/>
      <c r="L1323" s="407"/>
      <c r="M1323" s="407"/>
      <c r="N1323" s="407"/>
      <c r="O1323" s="407"/>
      <c r="P1323" s="407"/>
      <c r="Q1323" s="407"/>
      <c r="R1323" s="407"/>
      <c r="S1323" s="407"/>
      <c r="T1323" s="407"/>
      <c r="U1323" s="407"/>
      <c r="V1323" s="23"/>
    </row>
    <row r="1324" spans="1:32" s="16" customFormat="1" ht="14.25" customHeight="1" x14ac:dyDescent="0.2">
      <c r="A1324" s="11"/>
      <c r="B1324" s="77"/>
      <c r="C1324" s="77"/>
      <c r="D1324" s="77"/>
      <c r="E1324" s="77"/>
      <c r="F1324" s="77"/>
      <c r="G1324" s="77"/>
      <c r="H1324" s="77"/>
      <c r="I1324" s="77"/>
      <c r="J1324" s="77"/>
      <c r="K1324" s="77"/>
      <c r="L1324" s="77"/>
      <c r="M1324" s="77"/>
      <c r="N1324" s="77"/>
      <c r="O1324" s="77"/>
      <c r="P1324" s="77"/>
      <c r="Q1324" s="77"/>
      <c r="R1324" s="77"/>
      <c r="S1324" s="77"/>
      <c r="T1324" s="77"/>
      <c r="U1324" s="77"/>
      <c r="V1324" s="23"/>
    </row>
    <row r="1325" spans="1:32" s="16" customFormat="1" ht="14.25" customHeight="1" x14ac:dyDescent="0.2">
      <c r="A1325" s="11"/>
      <c r="B1325" s="77"/>
      <c r="C1325" s="77"/>
      <c r="D1325" s="77"/>
      <c r="E1325" s="77"/>
      <c r="F1325" s="77"/>
      <c r="G1325" s="77"/>
      <c r="H1325" s="77"/>
      <c r="I1325" s="77"/>
      <c r="J1325" s="77"/>
      <c r="K1325" s="77"/>
      <c r="L1325" s="77"/>
      <c r="M1325" s="77"/>
      <c r="N1325" s="77"/>
      <c r="O1325" s="77"/>
      <c r="P1325" s="77"/>
      <c r="Q1325" s="77"/>
      <c r="R1325" s="77"/>
      <c r="S1325" s="77"/>
      <c r="T1325" s="77"/>
      <c r="U1325" s="77"/>
      <c r="V1325" s="23"/>
    </row>
    <row r="1326" spans="1:32" s="16" customFormat="1" ht="14.25" customHeight="1" x14ac:dyDescent="0.2">
      <c r="A1326" s="11"/>
      <c r="B1326" s="77"/>
      <c r="C1326" s="77"/>
      <c r="D1326" s="77"/>
      <c r="E1326" s="77"/>
      <c r="F1326" s="77"/>
      <c r="G1326" s="77"/>
      <c r="H1326" s="77"/>
      <c r="I1326" s="77"/>
      <c r="J1326" s="77"/>
      <c r="K1326" s="77"/>
      <c r="L1326" s="77"/>
      <c r="M1326" s="77"/>
      <c r="N1326" s="77"/>
      <c r="O1326" s="77"/>
      <c r="P1326" s="77"/>
      <c r="Q1326" s="77"/>
      <c r="R1326" s="77"/>
      <c r="S1326" s="77"/>
      <c r="T1326" s="77"/>
      <c r="U1326" s="77"/>
      <c r="V1326" s="23"/>
    </row>
    <row r="1327" spans="1:32" s="16" customFormat="1" ht="14.25" customHeight="1" x14ac:dyDescent="0.2">
      <c r="A1327" s="11"/>
      <c r="B1327" s="77"/>
      <c r="C1327" s="77"/>
      <c r="D1327" s="77"/>
      <c r="E1327" s="77"/>
      <c r="F1327" s="77"/>
      <c r="G1327" s="77"/>
      <c r="H1327" s="77"/>
      <c r="I1327" s="77"/>
      <c r="J1327" s="77"/>
      <c r="K1327" s="77"/>
      <c r="L1327" s="77"/>
      <c r="M1327" s="77"/>
      <c r="N1327" s="77"/>
      <c r="O1327" s="77"/>
      <c r="P1327" s="77"/>
      <c r="Q1327" s="77"/>
      <c r="R1327" s="77"/>
      <c r="S1327" s="77"/>
      <c r="T1327" s="77"/>
      <c r="U1327" s="77"/>
      <c r="V1327" s="23"/>
    </row>
    <row r="1328" spans="1:32" s="16" customFormat="1" ht="14.25" customHeight="1" x14ac:dyDescent="0.2">
      <c r="A1328" s="11"/>
      <c r="B1328" s="77"/>
      <c r="C1328" s="77"/>
      <c r="D1328" s="77"/>
      <c r="E1328" s="77"/>
      <c r="F1328" s="77"/>
      <c r="G1328" s="77"/>
      <c r="H1328" s="77"/>
      <c r="I1328" s="77"/>
      <c r="J1328" s="77"/>
      <c r="K1328" s="77"/>
      <c r="L1328" s="77"/>
      <c r="M1328" s="77"/>
      <c r="N1328" s="77"/>
      <c r="O1328" s="77"/>
      <c r="P1328" s="77"/>
      <c r="Q1328" s="77"/>
      <c r="R1328" s="77"/>
      <c r="S1328" s="77"/>
      <c r="T1328" s="77"/>
      <c r="U1328" s="77"/>
      <c r="V1328" s="23"/>
    </row>
    <row r="1329" spans="1:32" s="16" customFormat="1" ht="14.25" customHeight="1" x14ac:dyDescent="0.2">
      <c r="A1329" s="11"/>
      <c r="B1329" s="77"/>
      <c r="C1329" s="77"/>
      <c r="D1329" s="77"/>
      <c r="E1329" s="77"/>
      <c r="F1329" s="77"/>
      <c r="G1329" s="77"/>
      <c r="H1329" s="77"/>
      <c r="I1329" s="77"/>
      <c r="J1329" s="77"/>
      <c r="K1329" s="77"/>
      <c r="L1329" s="77"/>
      <c r="M1329" s="77"/>
      <c r="N1329" s="77"/>
      <c r="O1329" s="77"/>
      <c r="P1329" s="77"/>
      <c r="Q1329" s="77"/>
      <c r="R1329" s="77"/>
      <c r="S1329" s="77"/>
      <c r="T1329" s="77"/>
      <c r="U1329" s="77"/>
      <c r="V1329" s="23"/>
    </row>
    <row r="1330" spans="1:32" s="16" customFormat="1" ht="14.25" customHeight="1" x14ac:dyDescent="0.2">
      <c r="A1330" s="11"/>
      <c r="B1330" s="77"/>
      <c r="C1330" s="77"/>
      <c r="D1330" s="77"/>
      <c r="E1330" s="77"/>
      <c r="F1330" s="77"/>
      <c r="G1330" s="77"/>
      <c r="H1330" s="77"/>
      <c r="I1330" s="77"/>
      <c r="J1330" s="77"/>
      <c r="K1330" s="77"/>
      <c r="L1330" s="77"/>
      <c r="M1330" s="77"/>
      <c r="N1330" s="77"/>
      <c r="O1330" s="77"/>
      <c r="P1330" s="77"/>
      <c r="Q1330" s="77"/>
      <c r="R1330" s="77"/>
      <c r="S1330" s="77"/>
      <c r="T1330" s="77"/>
      <c r="U1330" s="77"/>
      <c r="V1330" s="23"/>
    </row>
    <row r="1331" spans="1:32" s="16" customFormat="1" ht="14.25" customHeight="1" x14ac:dyDescent="0.2">
      <c r="A1331" s="11"/>
      <c r="B1331" s="77"/>
      <c r="C1331" s="77"/>
      <c r="D1331" s="77"/>
      <c r="E1331" s="77"/>
      <c r="F1331" s="77"/>
      <c r="G1331" s="77"/>
      <c r="H1331" s="77"/>
      <c r="I1331" s="77"/>
      <c r="J1331" s="77"/>
      <c r="K1331" s="77"/>
      <c r="L1331" s="77"/>
      <c r="M1331" s="77"/>
      <c r="N1331" s="77"/>
      <c r="O1331" s="77"/>
      <c r="P1331" s="77"/>
      <c r="Q1331" s="77"/>
      <c r="R1331" s="77"/>
      <c r="S1331" s="77"/>
      <c r="T1331" s="77"/>
      <c r="U1331" s="77"/>
      <c r="V1331" s="23"/>
    </row>
    <row r="1332" spans="1:32" s="16" customFormat="1" ht="14.25" customHeight="1" x14ac:dyDescent="0.2">
      <c r="A1332" s="11"/>
      <c r="B1332" s="77"/>
      <c r="C1332" s="77"/>
      <c r="D1332" s="77"/>
      <c r="E1332" s="77"/>
      <c r="F1332" s="77"/>
      <c r="G1332" s="77"/>
      <c r="H1332" s="77"/>
      <c r="I1332" s="77"/>
      <c r="J1332" s="77"/>
      <c r="K1332" s="77"/>
      <c r="L1332" s="77"/>
      <c r="M1332" s="77"/>
      <c r="N1332" s="77"/>
      <c r="O1332" s="77"/>
      <c r="P1332" s="77"/>
      <c r="Q1332" s="77"/>
      <c r="R1332" s="77"/>
      <c r="S1332" s="77"/>
      <c r="T1332" s="77"/>
      <c r="U1332" s="77"/>
      <c r="V1332" s="23"/>
    </row>
    <row r="1333" spans="1:32" s="16" customFormat="1" ht="14.25" customHeight="1" x14ac:dyDescent="0.2">
      <c r="A1333" s="11"/>
      <c r="B1333" s="77"/>
      <c r="C1333" s="225"/>
      <c r="D1333" s="225"/>
      <c r="E1333" s="225"/>
      <c r="F1333" s="225"/>
      <c r="G1333" s="225"/>
      <c r="H1333" s="225"/>
      <c r="I1333" s="225"/>
      <c r="J1333" s="225"/>
      <c r="K1333" s="225"/>
      <c r="L1333" s="225"/>
      <c r="M1333" s="225"/>
      <c r="N1333" s="225"/>
      <c r="O1333" s="225"/>
      <c r="P1333" s="225"/>
      <c r="Q1333" s="225"/>
      <c r="R1333" s="225"/>
      <c r="S1333" s="225"/>
      <c r="T1333" s="225"/>
      <c r="U1333" s="225"/>
      <c r="V1333" s="23"/>
    </row>
    <row r="1334" spans="1:32" s="16" customFormat="1" ht="15" customHeight="1" x14ac:dyDescent="0.2">
      <c r="A1334" s="567" t="s">
        <v>125</v>
      </c>
      <c r="B1334" s="569" t="s">
        <v>443</v>
      </c>
      <c r="C1334" s="570"/>
      <c r="D1334" s="570"/>
      <c r="E1334" s="571"/>
      <c r="F1334" s="572" t="s">
        <v>444</v>
      </c>
      <c r="G1334" s="572"/>
      <c r="H1334" s="572"/>
      <c r="I1334" s="572"/>
      <c r="J1334" s="572"/>
      <c r="K1334" s="572"/>
      <c r="L1334" s="572" t="s">
        <v>445</v>
      </c>
      <c r="M1334" s="572"/>
      <c r="N1334" s="572"/>
      <c r="O1334" s="572"/>
      <c r="P1334" s="572"/>
      <c r="Q1334" s="572"/>
      <c r="R1334" s="562" t="s">
        <v>446</v>
      </c>
      <c r="S1334" s="562"/>
      <c r="T1334" s="562"/>
      <c r="U1334" s="562"/>
      <c r="V1334" s="23"/>
    </row>
    <row r="1335" spans="1:32" s="16" customFormat="1" ht="15" customHeight="1" x14ac:dyDescent="0.2">
      <c r="A1335" s="568"/>
      <c r="B1335" s="564">
        <f>B1313</f>
        <v>2017</v>
      </c>
      <c r="C1335" s="565"/>
      <c r="D1335" s="565"/>
      <c r="E1335" s="566"/>
      <c r="F1335" s="562" t="s">
        <v>447</v>
      </c>
      <c r="G1335" s="562"/>
      <c r="H1335" s="562"/>
      <c r="I1335" s="573" t="s">
        <v>448</v>
      </c>
      <c r="J1335" s="573"/>
      <c r="K1335" s="573"/>
      <c r="L1335" s="562" t="s">
        <v>447</v>
      </c>
      <c r="M1335" s="562"/>
      <c r="N1335" s="562"/>
      <c r="O1335" s="563" t="s">
        <v>448</v>
      </c>
      <c r="P1335" s="563"/>
      <c r="Q1335" s="563"/>
      <c r="R1335" s="713">
        <f>R1313</f>
        <v>2018</v>
      </c>
      <c r="S1335" s="714"/>
      <c r="T1335" s="714"/>
      <c r="U1335" s="715"/>
      <c r="V1335" s="487"/>
      <c r="W1335" s="480"/>
      <c r="X1335" s="480"/>
      <c r="Y1335" s="471" t="s">
        <v>449</v>
      </c>
      <c r="Z1335" s="480"/>
      <c r="AA1335" s="480"/>
      <c r="AB1335" s="480"/>
      <c r="AC1335" s="488" t="s">
        <v>438</v>
      </c>
      <c r="AD1335" s="489"/>
      <c r="AE1335" s="489"/>
      <c r="AF1335" s="489"/>
    </row>
    <row r="1336" spans="1:32" s="16" customFormat="1" ht="57.75" customHeight="1" x14ac:dyDescent="0.2">
      <c r="A1336" s="200" t="str">
        <f>C1321</f>
        <v>Bangunan Pengaman Sungai dan Penanggulangan Bencana Alam</v>
      </c>
      <c r="B1336" s="650">
        <f>'[1]4.NERACA'!D113</f>
        <v>0</v>
      </c>
      <c r="C1336" s="651"/>
      <c r="D1336" s="651"/>
      <c r="E1336" s="652"/>
      <c r="F1336" s="650">
        <f>'[1]4.NERACA'!E113</f>
        <v>0</v>
      </c>
      <c r="G1336" s="651"/>
      <c r="H1336" s="652"/>
      <c r="I1336" s="666">
        <f>'[1]4.NERACA'!F113</f>
        <v>0</v>
      </c>
      <c r="J1336" s="667"/>
      <c r="K1336" s="668"/>
      <c r="L1336" s="650">
        <f>'[1]4.NERACA'!G113</f>
        <v>0</v>
      </c>
      <c r="M1336" s="651"/>
      <c r="N1336" s="652"/>
      <c r="O1336" s="650">
        <f>'[1]4.NERACA'!H113</f>
        <v>0</v>
      </c>
      <c r="P1336" s="651"/>
      <c r="Q1336" s="652"/>
      <c r="R1336" s="650">
        <f>B1336+F1336-I1336+L1336-O1336</f>
        <v>0</v>
      </c>
      <c r="S1336" s="651"/>
      <c r="T1336" s="651"/>
      <c r="U1336" s="652"/>
      <c r="V1336" s="479"/>
      <c r="W1336" s="480"/>
      <c r="X1336" s="480"/>
      <c r="Y1336" s="471">
        <v>0</v>
      </c>
      <c r="Z1336" s="480"/>
      <c r="AA1336" s="480"/>
      <c r="AB1336" s="480"/>
      <c r="AC1336" s="471">
        <f>R1336-B1336</f>
        <v>0</v>
      </c>
      <c r="AD1336" s="472"/>
      <c r="AE1336" s="472"/>
      <c r="AF1336" s="472"/>
    </row>
    <row r="1337" spans="1:32" s="16" customFormat="1" ht="24.75" customHeight="1" x14ac:dyDescent="0.2">
      <c r="A1337" s="11"/>
      <c r="B1337" s="226"/>
      <c r="C1337" s="226"/>
      <c r="D1337" s="226"/>
      <c r="E1337" s="226"/>
      <c r="F1337" s="226"/>
      <c r="G1337" s="226"/>
      <c r="H1337" s="226"/>
      <c r="I1337" s="226"/>
      <c r="J1337" s="226"/>
      <c r="K1337" s="226"/>
      <c r="L1337" s="226"/>
      <c r="M1337" s="226"/>
      <c r="N1337" s="226"/>
      <c r="O1337" s="226"/>
      <c r="P1337" s="226"/>
      <c r="Q1337" s="226"/>
      <c r="R1337" s="226"/>
      <c r="S1337" s="226"/>
      <c r="T1337" s="226"/>
      <c r="U1337" s="226"/>
      <c r="V1337" s="112"/>
      <c r="W1337" s="211"/>
      <c r="X1337" s="211"/>
      <c r="Y1337" s="113"/>
      <c r="Z1337" s="211"/>
      <c r="AA1337" s="211"/>
      <c r="AB1337" s="211"/>
      <c r="AC1337" s="113"/>
      <c r="AD1337" s="114"/>
      <c r="AE1337" s="114"/>
      <c r="AF1337" s="114"/>
    </row>
    <row r="1338" spans="1:32" s="16" customFormat="1" ht="15" customHeight="1" x14ac:dyDescent="0.2">
      <c r="A1338" s="11"/>
      <c r="B1338" s="408" t="s">
        <v>461</v>
      </c>
      <c r="C1338" s="408"/>
      <c r="D1338" s="408"/>
      <c r="E1338" s="408"/>
      <c r="F1338" s="408"/>
      <c r="G1338" s="408"/>
      <c r="H1338" s="408"/>
      <c r="I1338" s="408"/>
      <c r="J1338" s="408"/>
      <c r="K1338" s="408"/>
      <c r="L1338" s="408"/>
      <c r="M1338" s="408"/>
      <c r="N1338" s="408"/>
      <c r="O1338" s="408"/>
      <c r="P1338" s="408"/>
      <c r="Q1338" s="408"/>
      <c r="R1338" s="408"/>
      <c r="S1338" s="408"/>
      <c r="T1338" s="408"/>
      <c r="U1338" s="408"/>
      <c r="V1338" s="23"/>
    </row>
    <row r="1339" spans="1:32" s="16" customFormat="1" ht="15" customHeight="1" x14ac:dyDescent="0.2">
      <c r="A1339" s="11"/>
      <c r="B1339" s="125"/>
      <c r="C1339" s="408" t="s">
        <v>462</v>
      </c>
      <c r="D1339" s="408"/>
      <c r="E1339" s="408"/>
      <c r="F1339" s="408"/>
      <c r="G1339" s="408"/>
      <c r="H1339" s="408"/>
      <c r="I1339" s="408"/>
      <c r="J1339" s="408"/>
      <c r="K1339" s="408"/>
      <c r="L1339" s="408"/>
      <c r="M1339" s="408"/>
      <c r="N1339" s="408"/>
      <c r="O1339" s="408"/>
      <c r="P1339" s="408"/>
      <c r="Q1339" s="408"/>
      <c r="R1339" s="408"/>
      <c r="S1339" s="408"/>
      <c r="T1339" s="408"/>
      <c r="U1339" s="408"/>
      <c r="V1339" s="23"/>
    </row>
    <row r="1340" spans="1:32" s="16" customFormat="1" ht="18" customHeight="1" x14ac:dyDescent="0.2">
      <c r="A1340" s="11"/>
      <c r="B1340" s="125"/>
      <c r="C1340" s="408" t="str">
        <f>"Mutasi Debet sebesar Rp. "&amp;FIXED(F1336+L1336)&amp;"."</f>
        <v>Mutasi Debet sebesar Rp. 0,00.</v>
      </c>
      <c r="D1340" s="408"/>
      <c r="E1340" s="408"/>
      <c r="F1340" s="408"/>
      <c r="G1340" s="408"/>
      <c r="H1340" s="408"/>
      <c r="I1340" s="408"/>
      <c r="J1340" s="408"/>
      <c r="K1340" s="408"/>
      <c r="L1340" s="408"/>
      <c r="M1340" s="408"/>
      <c r="N1340" s="408"/>
      <c r="O1340" s="408"/>
      <c r="P1340" s="408"/>
      <c r="Q1340" s="408"/>
      <c r="R1340" s="408"/>
      <c r="S1340" s="408"/>
      <c r="T1340" s="408"/>
      <c r="U1340" s="408"/>
      <c r="V1340" s="23"/>
    </row>
    <row r="1341" spans="1:32" s="16" customFormat="1" ht="15" customHeight="1" x14ac:dyDescent="0.2">
      <c r="A1341" s="11"/>
      <c r="B1341" s="125"/>
      <c r="C1341" s="408" t="s">
        <v>463</v>
      </c>
      <c r="D1341" s="408"/>
      <c r="E1341" s="408"/>
      <c r="F1341" s="408"/>
      <c r="G1341" s="408"/>
      <c r="H1341" s="408"/>
      <c r="I1341" s="408"/>
      <c r="J1341" s="408"/>
      <c r="K1341" s="408"/>
      <c r="L1341" s="408"/>
      <c r="M1341" s="408"/>
      <c r="N1341" s="408"/>
      <c r="O1341" s="408"/>
      <c r="P1341" s="408"/>
      <c r="Q1341" s="408"/>
      <c r="R1341" s="408"/>
      <c r="S1341" s="408"/>
      <c r="T1341" s="408"/>
      <c r="U1341" s="408"/>
      <c r="V1341" s="23"/>
    </row>
    <row r="1342" spans="1:32" s="16" customFormat="1" ht="21" customHeight="1" x14ac:dyDescent="0.2">
      <c r="A1342" s="11"/>
      <c r="B1342" s="203"/>
      <c r="C1342" s="408" t="str">
        <f>"Mutasi Kredit Rp. "&amp;FIXED(I1336+O1336)&amp;"."</f>
        <v>Mutasi Kredit Rp. 0,00.</v>
      </c>
      <c r="D1342" s="408"/>
      <c r="E1342" s="408"/>
      <c r="F1342" s="408"/>
      <c r="G1342" s="408"/>
      <c r="H1342" s="408"/>
      <c r="I1342" s="408"/>
      <c r="J1342" s="408"/>
      <c r="K1342" s="408"/>
      <c r="L1342" s="408"/>
      <c r="M1342" s="408"/>
      <c r="N1342" s="408"/>
      <c r="O1342" s="408"/>
      <c r="P1342" s="408"/>
      <c r="Q1342" s="408"/>
      <c r="R1342" s="408"/>
      <c r="S1342" s="408"/>
      <c r="T1342" s="408"/>
      <c r="U1342" s="408"/>
      <c r="V1342" s="23"/>
    </row>
    <row r="1343" spans="1:32" s="16" customFormat="1" ht="15" customHeight="1" x14ac:dyDescent="0.2">
      <c r="A1343" s="11"/>
      <c r="B1343" s="532"/>
      <c r="C1343" s="532"/>
      <c r="D1343" s="532"/>
      <c r="E1343" s="532"/>
      <c r="F1343" s="532"/>
      <c r="G1343" s="532"/>
      <c r="H1343" s="532"/>
      <c r="I1343" s="532"/>
      <c r="J1343" s="532"/>
      <c r="K1343" s="532"/>
      <c r="L1343" s="532"/>
      <c r="M1343" s="532"/>
      <c r="N1343" s="728"/>
      <c r="O1343" s="728"/>
      <c r="P1343" s="728"/>
      <c r="Q1343" s="728"/>
      <c r="R1343" s="728"/>
      <c r="S1343" s="728"/>
      <c r="T1343" s="728"/>
      <c r="U1343" s="728"/>
      <c r="V1343" s="23"/>
    </row>
    <row r="1344" spans="1:32" s="16" customFormat="1" ht="15" customHeight="1" x14ac:dyDescent="0.2">
      <c r="A1344" s="11"/>
      <c r="B1344" s="202" t="s">
        <v>156</v>
      </c>
      <c r="C1344" s="402" t="str">
        <f>'[1]4.NERACA'!C114</f>
        <v>Bangunan Pengembangan Sumber Air dan Air Tanah</v>
      </c>
      <c r="D1344" s="402"/>
      <c r="E1344" s="402"/>
      <c r="F1344" s="402"/>
      <c r="G1344" s="402"/>
      <c r="H1344" s="402"/>
      <c r="I1344" s="402"/>
      <c r="J1344" s="402"/>
      <c r="K1344" s="402"/>
      <c r="L1344" s="402"/>
      <c r="M1344" s="402"/>
      <c r="N1344" s="402"/>
      <c r="O1344" s="402"/>
      <c r="P1344" s="402"/>
      <c r="Q1344" s="402"/>
      <c r="R1344" s="402"/>
      <c r="S1344" s="402"/>
      <c r="T1344" s="402"/>
      <c r="U1344" s="402"/>
      <c r="V1344" s="23"/>
    </row>
    <row r="1345" spans="1:32" s="16" customFormat="1" ht="78.75" customHeight="1" x14ac:dyDescent="0.2">
      <c r="A1345" s="11"/>
      <c r="C1345" s="407" t="str">
        <f>"Nilai aset tetap berupa "&amp;C1344&amp;"  per "&amp;'[1]2.ISIAN DATA SKPD'!D8&amp;" dan  "&amp;'[1]2.ISIAN DATA SKPD'!D12&amp;" adalah sebesar Rp. "&amp;FIXED(R1350)&amp;" dan Rp. "&amp;FIXED(B1350)&amp;" tidak mengalami kenaikan/penurunan sebesar Rp. "&amp;FIXED(AC1350)&amp;" atau sebesar "&amp;FIXED(Y1350)&amp;"% dari tahun "&amp;'[1]2.ISIAN DATA SKPD'!D12&amp;"."</f>
        <v>Nilai aset tetap berupa Bangunan Pengembangan Sumber Air dan Air Tanah  per 31 Desember 2018 dan  2017 adalah sebesar Rp. 93.750.000,00 dan Rp. 93.750.000,00 tidak mengalami kenaikan/penurunan sebesar Rp. 0,00 atau sebesar 0,00% dari tahun 2017.</v>
      </c>
      <c r="D1345" s="407"/>
      <c r="E1345" s="407"/>
      <c r="F1345" s="407"/>
      <c r="G1345" s="407"/>
      <c r="H1345" s="407"/>
      <c r="I1345" s="407"/>
      <c r="J1345" s="407"/>
      <c r="K1345" s="407"/>
      <c r="L1345" s="407"/>
      <c r="M1345" s="407"/>
      <c r="N1345" s="407"/>
      <c r="O1345" s="407"/>
      <c r="P1345" s="407"/>
      <c r="Q1345" s="407"/>
      <c r="R1345" s="407"/>
      <c r="S1345" s="407"/>
      <c r="T1345" s="407"/>
      <c r="U1345" s="407"/>
      <c r="V1345" s="23"/>
    </row>
    <row r="1346" spans="1:32" s="16" customFormat="1" ht="24.75" customHeight="1" x14ac:dyDescent="0.2">
      <c r="A1346" s="11"/>
      <c r="B1346" s="77"/>
      <c r="C1346" s="407" t="str">
        <f>"Dengan mutasi  selama tahun "&amp;'[1]2.ISIAN DATA SKPD'!D11&amp;" sebagai berikut :"</f>
        <v>Dengan mutasi  selama tahun 2018 sebagai berikut :</v>
      </c>
      <c r="D1346" s="407"/>
      <c r="E1346" s="407"/>
      <c r="F1346" s="407"/>
      <c r="G1346" s="407"/>
      <c r="H1346" s="407"/>
      <c r="I1346" s="407"/>
      <c r="J1346" s="407"/>
      <c r="K1346" s="407"/>
      <c r="L1346" s="407"/>
      <c r="M1346" s="407"/>
      <c r="N1346" s="407"/>
      <c r="O1346" s="407"/>
      <c r="P1346" s="407"/>
      <c r="Q1346" s="407"/>
      <c r="R1346" s="407"/>
      <c r="S1346" s="407"/>
      <c r="T1346" s="407"/>
      <c r="U1346" s="407"/>
      <c r="V1346" s="23"/>
    </row>
    <row r="1347" spans="1:32" s="16" customFormat="1" ht="24.75" customHeight="1" x14ac:dyDescent="0.2">
      <c r="A1347" s="11"/>
      <c r="B1347" s="77"/>
      <c r="C1347" s="225"/>
      <c r="D1347" s="225"/>
      <c r="E1347" s="225"/>
      <c r="F1347" s="225"/>
      <c r="G1347" s="225"/>
      <c r="H1347" s="225"/>
      <c r="I1347" s="225"/>
      <c r="J1347" s="225"/>
      <c r="K1347" s="225"/>
      <c r="L1347" s="225"/>
      <c r="M1347" s="225"/>
      <c r="N1347" s="225"/>
      <c r="O1347" s="225"/>
      <c r="P1347" s="225"/>
      <c r="Q1347" s="225"/>
      <c r="R1347" s="225"/>
      <c r="S1347" s="225"/>
      <c r="T1347" s="225"/>
      <c r="U1347" s="225"/>
      <c r="V1347" s="23"/>
    </row>
    <row r="1348" spans="1:32" s="16" customFormat="1" ht="15" customHeight="1" x14ac:dyDescent="0.2">
      <c r="A1348" s="567" t="s">
        <v>125</v>
      </c>
      <c r="B1348" s="569" t="s">
        <v>443</v>
      </c>
      <c r="C1348" s="570"/>
      <c r="D1348" s="570"/>
      <c r="E1348" s="571"/>
      <c r="F1348" s="572" t="s">
        <v>444</v>
      </c>
      <c r="G1348" s="572"/>
      <c r="H1348" s="572"/>
      <c r="I1348" s="572"/>
      <c r="J1348" s="572"/>
      <c r="K1348" s="572"/>
      <c r="L1348" s="572" t="s">
        <v>445</v>
      </c>
      <c r="M1348" s="572"/>
      <c r="N1348" s="572"/>
      <c r="O1348" s="572"/>
      <c r="P1348" s="572"/>
      <c r="Q1348" s="572"/>
      <c r="R1348" s="562" t="s">
        <v>446</v>
      </c>
      <c r="S1348" s="562"/>
      <c r="T1348" s="562"/>
      <c r="U1348" s="562"/>
      <c r="V1348" s="23"/>
    </row>
    <row r="1349" spans="1:32" s="16" customFormat="1" ht="15" customHeight="1" x14ac:dyDescent="0.2">
      <c r="A1349" s="568"/>
      <c r="B1349" s="564">
        <f>B1335</f>
        <v>2017</v>
      </c>
      <c r="C1349" s="565"/>
      <c r="D1349" s="565"/>
      <c r="E1349" s="566"/>
      <c r="F1349" s="562" t="s">
        <v>447</v>
      </c>
      <c r="G1349" s="562"/>
      <c r="H1349" s="562"/>
      <c r="I1349" s="573" t="s">
        <v>448</v>
      </c>
      <c r="J1349" s="573"/>
      <c r="K1349" s="573"/>
      <c r="L1349" s="562" t="s">
        <v>447</v>
      </c>
      <c r="M1349" s="562"/>
      <c r="N1349" s="562"/>
      <c r="O1349" s="563" t="s">
        <v>448</v>
      </c>
      <c r="P1349" s="563"/>
      <c r="Q1349" s="563"/>
      <c r="R1349" s="713">
        <f>R1335</f>
        <v>2018</v>
      </c>
      <c r="S1349" s="714"/>
      <c r="T1349" s="714"/>
      <c r="U1349" s="715"/>
      <c r="V1349" s="487"/>
      <c r="W1349" s="480"/>
      <c r="X1349" s="480"/>
      <c r="Y1349" s="471" t="s">
        <v>449</v>
      </c>
      <c r="Z1349" s="480"/>
      <c r="AA1349" s="480"/>
      <c r="AB1349" s="480"/>
      <c r="AC1349" s="488" t="s">
        <v>438</v>
      </c>
      <c r="AD1349" s="489"/>
      <c r="AE1349" s="489"/>
      <c r="AF1349" s="489"/>
    </row>
    <row r="1350" spans="1:32" s="16" customFormat="1" ht="57" customHeight="1" x14ac:dyDescent="0.2">
      <c r="A1350" s="200" t="str">
        <f>C1344</f>
        <v>Bangunan Pengembangan Sumber Air dan Air Tanah</v>
      </c>
      <c r="B1350" s="650">
        <f>'[1]4.NERACA'!D114</f>
        <v>93750000</v>
      </c>
      <c r="C1350" s="651"/>
      <c r="D1350" s="651"/>
      <c r="E1350" s="652"/>
      <c r="F1350" s="650">
        <f>'[1]4.NERACA'!E114</f>
        <v>0</v>
      </c>
      <c r="G1350" s="651"/>
      <c r="H1350" s="652"/>
      <c r="I1350" s="666">
        <f>'[1]4.NERACA'!F114</f>
        <v>0</v>
      </c>
      <c r="J1350" s="667"/>
      <c r="K1350" s="668"/>
      <c r="L1350" s="650">
        <f>'[1]4.NERACA'!G114</f>
        <v>0</v>
      </c>
      <c r="M1350" s="651"/>
      <c r="N1350" s="652"/>
      <c r="O1350" s="650">
        <f>'[1]4.NERACA'!H114</f>
        <v>0</v>
      </c>
      <c r="P1350" s="651"/>
      <c r="Q1350" s="652"/>
      <c r="R1350" s="650">
        <f>B1350+F1350-I1350+L1350-O1350</f>
        <v>93750000</v>
      </c>
      <c r="S1350" s="651"/>
      <c r="T1350" s="651"/>
      <c r="U1350" s="652"/>
      <c r="V1350" s="479"/>
      <c r="W1350" s="480"/>
      <c r="X1350" s="480"/>
      <c r="Y1350" s="471">
        <f>(R1350-B1350)/B1350*100</f>
        <v>0</v>
      </c>
      <c r="Z1350" s="480"/>
      <c r="AA1350" s="480"/>
      <c r="AB1350" s="480"/>
      <c r="AC1350" s="471">
        <f>R1350-B1350</f>
        <v>0</v>
      </c>
      <c r="AD1350" s="472"/>
      <c r="AE1350" s="472"/>
      <c r="AF1350" s="472"/>
    </row>
    <row r="1351" spans="1:32" s="16" customFormat="1" ht="15" customHeight="1" x14ac:dyDescent="0.2">
      <c r="A1351" s="11"/>
      <c r="B1351" s="669" t="s">
        <v>461</v>
      </c>
      <c r="C1351" s="669"/>
      <c r="D1351" s="669"/>
      <c r="E1351" s="669"/>
      <c r="F1351" s="669"/>
      <c r="G1351" s="669"/>
      <c r="H1351" s="669"/>
      <c r="I1351" s="669"/>
      <c r="J1351" s="669"/>
      <c r="K1351" s="669"/>
      <c r="L1351" s="669"/>
      <c r="M1351" s="669"/>
      <c r="N1351" s="669"/>
      <c r="O1351" s="669"/>
      <c r="P1351" s="669"/>
      <c r="Q1351" s="669"/>
      <c r="R1351" s="669"/>
      <c r="S1351" s="669"/>
      <c r="T1351" s="669"/>
      <c r="U1351" s="669"/>
      <c r="V1351" s="23"/>
    </row>
    <row r="1352" spans="1:32" s="16" customFormat="1" ht="15" customHeight="1" x14ac:dyDescent="0.2">
      <c r="A1352" s="11"/>
      <c r="B1352" s="125"/>
      <c r="C1352" s="408" t="s">
        <v>462</v>
      </c>
      <c r="D1352" s="408"/>
      <c r="E1352" s="408"/>
      <c r="F1352" s="408"/>
      <c r="G1352" s="408"/>
      <c r="H1352" s="408"/>
      <c r="I1352" s="408"/>
      <c r="J1352" s="408"/>
      <c r="K1352" s="408"/>
      <c r="L1352" s="408"/>
      <c r="M1352" s="408"/>
      <c r="N1352" s="408"/>
      <c r="O1352" s="408"/>
      <c r="P1352" s="408"/>
      <c r="Q1352" s="408"/>
      <c r="R1352" s="408"/>
      <c r="S1352" s="408"/>
      <c r="T1352" s="408"/>
      <c r="U1352" s="408"/>
      <c r="V1352" s="23"/>
    </row>
    <row r="1353" spans="1:32" s="16" customFormat="1" ht="19.5" customHeight="1" x14ac:dyDescent="0.2">
      <c r="A1353" s="11"/>
      <c r="B1353" s="125"/>
      <c r="C1353" s="408" t="str">
        <f>"Mutasi Debet sebesar Rp. "&amp;FIXED(F1350+L1350)&amp;""</f>
        <v>Mutasi Debet sebesar Rp. 0,00</v>
      </c>
      <c r="D1353" s="408"/>
      <c r="E1353" s="408"/>
      <c r="F1353" s="408"/>
      <c r="G1353" s="408"/>
      <c r="H1353" s="408"/>
      <c r="I1353" s="408"/>
      <c r="J1353" s="408"/>
      <c r="K1353" s="408"/>
      <c r="L1353" s="408"/>
      <c r="M1353" s="408"/>
      <c r="N1353" s="408"/>
      <c r="O1353" s="408"/>
      <c r="P1353" s="408"/>
      <c r="Q1353" s="408"/>
      <c r="R1353" s="408"/>
      <c r="S1353" s="408"/>
      <c r="T1353" s="408"/>
      <c r="U1353" s="408"/>
      <c r="V1353" s="23"/>
    </row>
    <row r="1354" spans="1:32" s="16" customFormat="1" ht="15" customHeight="1" x14ac:dyDescent="0.2">
      <c r="A1354" s="11"/>
      <c r="B1354" s="125"/>
      <c r="C1354" s="408" t="s">
        <v>463</v>
      </c>
      <c r="D1354" s="408"/>
      <c r="E1354" s="408"/>
      <c r="F1354" s="408"/>
      <c r="G1354" s="408"/>
      <c r="H1354" s="408"/>
      <c r="I1354" s="408"/>
      <c r="J1354" s="408"/>
      <c r="K1354" s="408"/>
      <c r="L1354" s="408"/>
      <c r="M1354" s="408"/>
      <c r="N1354" s="408"/>
      <c r="O1354" s="408"/>
      <c r="P1354" s="408"/>
      <c r="Q1354" s="408"/>
      <c r="R1354" s="408"/>
      <c r="S1354" s="408"/>
      <c r="T1354" s="408"/>
      <c r="U1354" s="408"/>
      <c r="V1354" s="23"/>
    </row>
    <row r="1355" spans="1:32" s="16" customFormat="1" ht="21" customHeight="1" x14ac:dyDescent="0.2">
      <c r="A1355" s="11"/>
      <c r="B1355" s="203"/>
      <c r="C1355" s="408" t="str">
        <f>"Mutasi Kredit Rp. "&amp;FIXED(I1350+O1350)&amp;". "</f>
        <v xml:space="preserve">Mutasi Kredit Rp. 0,00. </v>
      </c>
      <c r="D1355" s="408"/>
      <c r="E1355" s="408"/>
      <c r="F1355" s="408"/>
      <c r="G1355" s="408"/>
      <c r="H1355" s="408"/>
      <c r="I1355" s="408"/>
      <c r="J1355" s="408"/>
      <c r="K1355" s="408"/>
      <c r="L1355" s="408"/>
      <c r="M1355" s="408"/>
      <c r="N1355" s="408"/>
      <c r="O1355" s="408"/>
      <c r="P1355" s="408"/>
      <c r="Q1355" s="408"/>
      <c r="R1355" s="408"/>
      <c r="S1355" s="408"/>
      <c r="T1355" s="408"/>
      <c r="U1355" s="408"/>
      <c r="V1355" s="23"/>
    </row>
    <row r="1356" spans="1:32" s="16" customFormat="1" ht="10.5" customHeight="1" x14ac:dyDescent="0.2">
      <c r="A1356" s="11"/>
      <c r="B1356" s="103"/>
      <c r="C1356" s="97"/>
      <c r="D1356" s="97"/>
      <c r="E1356" s="97"/>
      <c r="F1356" s="97"/>
      <c r="G1356" s="97"/>
      <c r="H1356" s="97"/>
      <c r="I1356" s="97"/>
      <c r="J1356" s="97"/>
      <c r="K1356" s="97"/>
      <c r="L1356" s="97"/>
      <c r="M1356" s="97"/>
      <c r="N1356" s="134"/>
      <c r="O1356" s="134"/>
      <c r="P1356" s="134"/>
      <c r="Q1356" s="134"/>
      <c r="R1356" s="134"/>
      <c r="S1356" s="134"/>
      <c r="T1356" s="134"/>
      <c r="U1356" s="134"/>
      <c r="V1356" s="23"/>
    </row>
    <row r="1357" spans="1:32" s="16" customFormat="1" ht="15" customHeight="1" x14ac:dyDescent="0.2">
      <c r="A1357" s="11"/>
      <c r="B1357" s="202" t="s">
        <v>325</v>
      </c>
      <c r="C1357" s="402" t="str">
        <f>'[1]4.NERACA'!C115</f>
        <v>Bangunan Air Bersih/Baku</v>
      </c>
      <c r="D1357" s="402"/>
      <c r="E1357" s="402"/>
      <c r="F1357" s="402"/>
      <c r="G1357" s="402"/>
      <c r="H1357" s="402"/>
      <c r="I1357" s="402"/>
      <c r="J1357" s="402"/>
      <c r="K1357" s="402"/>
      <c r="L1357" s="402"/>
      <c r="M1357" s="402"/>
      <c r="N1357" s="402"/>
      <c r="O1357" s="402"/>
      <c r="P1357" s="402"/>
      <c r="Q1357" s="402"/>
      <c r="R1357" s="402"/>
      <c r="S1357" s="402"/>
      <c r="T1357" s="402"/>
      <c r="U1357" s="402"/>
      <c r="V1357" s="23"/>
    </row>
    <row r="1358" spans="1:32" s="16" customFormat="1" ht="61.5" customHeight="1" x14ac:dyDescent="0.2">
      <c r="A1358" s="11"/>
      <c r="C1358" s="407" t="str">
        <f>"Nilai aset tetap berupa "&amp;C1357&amp;"  per "&amp;'[1]2.ISIAN DATA SKPD'!D8&amp;" dan  "&amp;'[1]2.ISIAN DATA SKPD'!D12&amp;" adalah sebesar Rp. "&amp;FIXED(R1363)&amp;" dan Rp. "&amp;FIXED(B1363)&amp;" tidak mengalami kenaikan/penurunan sebesar Rp. "&amp;FIXED(AC1363)&amp;" atau sebesar "&amp;FIXED(Y1363)&amp;"% dati tahun "&amp;'[1]2.ISIAN DATA SKPD'!D12&amp;"."</f>
        <v>Nilai aset tetap berupa Bangunan Air Bersih/Baku  per 31 Desember 2018 dan  2017 adalah sebesar Rp. 467.853.678,00 dan Rp. 467.853.678,00 tidak mengalami kenaikan/penurunan sebesar Rp. 0,00 atau sebesar 0,00% dati tahun 2017.</v>
      </c>
      <c r="D1358" s="407"/>
      <c r="E1358" s="407"/>
      <c r="F1358" s="407"/>
      <c r="G1358" s="407"/>
      <c r="H1358" s="407"/>
      <c r="I1358" s="407"/>
      <c r="J1358" s="407"/>
      <c r="K1358" s="407"/>
      <c r="L1358" s="407"/>
      <c r="M1358" s="407"/>
      <c r="N1358" s="407"/>
      <c r="O1358" s="407"/>
      <c r="P1358" s="407"/>
      <c r="Q1358" s="407"/>
      <c r="R1358" s="407"/>
      <c r="S1358" s="407"/>
      <c r="T1358" s="407"/>
      <c r="U1358" s="407"/>
      <c r="V1358" s="23"/>
    </row>
    <row r="1359" spans="1:32" s="16" customFormat="1" ht="18.75" customHeight="1" x14ac:dyDescent="0.2">
      <c r="A1359" s="11"/>
      <c r="B1359" s="77"/>
      <c r="C1359" s="407" t="str">
        <f>"Dengan mutasi  selama tahun "&amp;'[1]2.ISIAN DATA SKPD'!D11&amp;" sebagai berikut :"</f>
        <v>Dengan mutasi  selama tahun 2018 sebagai berikut :</v>
      </c>
      <c r="D1359" s="407"/>
      <c r="E1359" s="407"/>
      <c r="F1359" s="407"/>
      <c r="G1359" s="407"/>
      <c r="H1359" s="407"/>
      <c r="I1359" s="407"/>
      <c r="J1359" s="407"/>
      <c r="K1359" s="407"/>
      <c r="L1359" s="407"/>
      <c r="M1359" s="407"/>
      <c r="N1359" s="407"/>
      <c r="O1359" s="407"/>
      <c r="P1359" s="407"/>
      <c r="Q1359" s="407"/>
      <c r="R1359" s="407"/>
      <c r="S1359" s="407"/>
      <c r="T1359" s="407"/>
      <c r="U1359" s="407"/>
      <c r="V1359" s="23"/>
    </row>
    <row r="1360" spans="1:32" s="16" customFormat="1" ht="9" customHeight="1" x14ac:dyDescent="0.2">
      <c r="A1360" s="11"/>
      <c r="B1360" s="77"/>
      <c r="C1360" s="225"/>
      <c r="D1360" s="225"/>
      <c r="E1360" s="225"/>
      <c r="F1360" s="225"/>
      <c r="G1360" s="225"/>
      <c r="H1360" s="225"/>
      <c r="I1360" s="225"/>
      <c r="J1360" s="225"/>
      <c r="K1360" s="225"/>
      <c r="L1360" s="225"/>
      <c r="M1360" s="225"/>
      <c r="N1360" s="225"/>
      <c r="O1360" s="225"/>
      <c r="P1360" s="225"/>
      <c r="Q1360" s="225"/>
      <c r="R1360" s="225"/>
      <c r="S1360" s="225"/>
      <c r="T1360" s="225"/>
      <c r="U1360" s="225"/>
      <c r="V1360" s="23"/>
    </row>
    <row r="1361" spans="1:32" s="16" customFormat="1" ht="15" customHeight="1" x14ac:dyDescent="0.2">
      <c r="A1361" s="567" t="s">
        <v>125</v>
      </c>
      <c r="B1361" s="602" t="s">
        <v>443</v>
      </c>
      <c r="C1361" s="603"/>
      <c r="D1361" s="603"/>
      <c r="E1361" s="604"/>
      <c r="F1361" s="605" t="s">
        <v>444</v>
      </c>
      <c r="G1361" s="605"/>
      <c r="H1361" s="605"/>
      <c r="I1361" s="605"/>
      <c r="J1361" s="605"/>
      <c r="K1361" s="605"/>
      <c r="L1361" s="605" t="s">
        <v>445</v>
      </c>
      <c r="M1361" s="605"/>
      <c r="N1361" s="605"/>
      <c r="O1361" s="605"/>
      <c r="P1361" s="605"/>
      <c r="Q1361" s="605"/>
      <c r="R1361" s="600" t="s">
        <v>446</v>
      </c>
      <c r="S1361" s="600"/>
      <c r="T1361" s="600"/>
      <c r="U1361" s="600"/>
      <c r="V1361" s="23"/>
    </row>
    <row r="1362" spans="1:32" s="16" customFormat="1" ht="15" customHeight="1" x14ac:dyDescent="0.2">
      <c r="A1362" s="568"/>
      <c r="B1362" s="616">
        <f>B1349</f>
        <v>2017</v>
      </c>
      <c r="C1362" s="617"/>
      <c r="D1362" s="617"/>
      <c r="E1362" s="618"/>
      <c r="F1362" s="602" t="s">
        <v>447</v>
      </c>
      <c r="G1362" s="603"/>
      <c r="H1362" s="604"/>
      <c r="I1362" s="725" t="s">
        <v>448</v>
      </c>
      <c r="J1362" s="726"/>
      <c r="K1362" s="727"/>
      <c r="L1362" s="602" t="s">
        <v>447</v>
      </c>
      <c r="M1362" s="603"/>
      <c r="N1362" s="604"/>
      <c r="O1362" s="722" t="s">
        <v>448</v>
      </c>
      <c r="P1362" s="723"/>
      <c r="Q1362" s="724"/>
      <c r="R1362" s="713">
        <f>R1349</f>
        <v>2018</v>
      </c>
      <c r="S1362" s="714"/>
      <c r="T1362" s="714"/>
      <c r="U1362" s="715"/>
      <c r="V1362" s="487"/>
      <c r="W1362" s="480"/>
      <c r="X1362" s="480"/>
      <c r="Y1362" s="471" t="s">
        <v>449</v>
      </c>
      <c r="Z1362" s="480"/>
      <c r="AA1362" s="480"/>
      <c r="AB1362" s="480"/>
      <c r="AC1362" s="488" t="s">
        <v>438</v>
      </c>
      <c r="AD1362" s="489"/>
      <c r="AE1362" s="489"/>
      <c r="AF1362" s="489"/>
    </row>
    <row r="1363" spans="1:32" s="16" customFormat="1" ht="30" customHeight="1" x14ac:dyDescent="0.2">
      <c r="A1363" s="200" t="str">
        <f>C1357</f>
        <v>Bangunan Air Bersih/Baku</v>
      </c>
      <c r="B1363" s="580">
        <f>'[1]4.NERACA'!D115</f>
        <v>467853678</v>
      </c>
      <c r="C1363" s="581"/>
      <c r="D1363" s="581"/>
      <c r="E1363" s="582"/>
      <c r="F1363" s="580">
        <f>'[1]4.NERACA'!E115</f>
        <v>0</v>
      </c>
      <c r="G1363" s="581"/>
      <c r="H1363" s="582"/>
      <c r="I1363" s="682">
        <f>'[1]4.NERACA'!F115</f>
        <v>0</v>
      </c>
      <c r="J1363" s="683"/>
      <c r="K1363" s="684"/>
      <c r="L1363" s="580">
        <f>'[1]4.NERACA'!G115</f>
        <v>0</v>
      </c>
      <c r="M1363" s="581"/>
      <c r="N1363" s="582"/>
      <c r="O1363" s="580">
        <f>'[1]4.NERACA'!H115</f>
        <v>0</v>
      </c>
      <c r="P1363" s="581"/>
      <c r="Q1363" s="582"/>
      <c r="R1363" s="580">
        <f>B1363+F1363-I1363+L1363-O1363</f>
        <v>467853678</v>
      </c>
      <c r="S1363" s="581"/>
      <c r="T1363" s="581"/>
      <c r="U1363" s="582"/>
      <c r="V1363" s="479"/>
      <c r="W1363" s="480"/>
      <c r="X1363" s="480"/>
      <c r="Y1363" s="471">
        <f>(R1363-B1363)/B1363*100</f>
        <v>0</v>
      </c>
      <c r="Z1363" s="480"/>
      <c r="AA1363" s="480"/>
      <c r="AB1363" s="480"/>
      <c r="AC1363" s="471">
        <f>R1363-B1363</f>
        <v>0</v>
      </c>
      <c r="AD1363" s="472"/>
      <c r="AE1363" s="472"/>
      <c r="AF1363" s="472"/>
    </row>
    <row r="1364" spans="1:32" s="16" customFormat="1" ht="30" customHeight="1" x14ac:dyDescent="0.2">
      <c r="A1364" s="11"/>
      <c r="B1364" s="227"/>
      <c r="C1364" s="227"/>
      <c r="D1364" s="227"/>
      <c r="E1364" s="227"/>
      <c r="F1364" s="227"/>
      <c r="G1364" s="227"/>
      <c r="H1364" s="227"/>
      <c r="I1364" s="227"/>
      <c r="J1364" s="227"/>
      <c r="K1364" s="227"/>
      <c r="L1364" s="227"/>
      <c r="M1364" s="227"/>
      <c r="N1364" s="227"/>
      <c r="O1364" s="227"/>
      <c r="P1364" s="227"/>
      <c r="Q1364" s="227"/>
      <c r="R1364" s="227"/>
      <c r="S1364" s="227"/>
      <c r="T1364" s="227"/>
      <c r="U1364" s="227"/>
      <c r="V1364" s="112"/>
      <c r="W1364" s="211"/>
      <c r="X1364" s="211"/>
      <c r="Y1364" s="113"/>
      <c r="Z1364" s="211"/>
      <c r="AA1364" s="211"/>
      <c r="AB1364" s="211"/>
      <c r="AC1364" s="113"/>
      <c r="AD1364" s="114"/>
      <c r="AE1364" s="114"/>
      <c r="AF1364" s="114"/>
    </row>
    <row r="1365" spans="1:32" s="16" customFormat="1" ht="19.5" customHeight="1" x14ac:dyDescent="0.2">
      <c r="A1365" s="11"/>
      <c r="B1365" s="228"/>
      <c r="C1365" s="228"/>
      <c r="D1365" s="228"/>
      <c r="E1365" s="228"/>
      <c r="F1365" s="228"/>
      <c r="G1365" s="228"/>
      <c r="H1365" s="228"/>
      <c r="I1365" s="228"/>
      <c r="J1365" s="228"/>
      <c r="K1365" s="228"/>
      <c r="L1365" s="228"/>
      <c r="M1365" s="228"/>
      <c r="N1365" s="228"/>
      <c r="O1365" s="228"/>
      <c r="P1365" s="228"/>
      <c r="Q1365" s="228"/>
      <c r="R1365" s="228"/>
      <c r="S1365" s="228"/>
      <c r="T1365" s="228"/>
      <c r="U1365" s="228"/>
      <c r="V1365" s="112"/>
      <c r="W1365" s="211"/>
      <c r="X1365" s="211"/>
      <c r="Y1365" s="113"/>
      <c r="Z1365" s="211"/>
      <c r="AA1365" s="211"/>
      <c r="AB1365" s="211"/>
      <c r="AC1365" s="113"/>
      <c r="AD1365" s="114"/>
      <c r="AE1365" s="114"/>
      <c r="AF1365" s="114"/>
    </row>
    <row r="1366" spans="1:32" s="16" customFormat="1" ht="15" customHeight="1" x14ac:dyDescent="0.2">
      <c r="A1366" s="11"/>
      <c r="B1366" s="408" t="s">
        <v>461</v>
      </c>
      <c r="C1366" s="408"/>
      <c r="D1366" s="408"/>
      <c r="E1366" s="408"/>
      <c r="F1366" s="408"/>
      <c r="G1366" s="408"/>
      <c r="H1366" s="408"/>
      <c r="I1366" s="408"/>
      <c r="J1366" s="408"/>
      <c r="K1366" s="408"/>
      <c r="L1366" s="408"/>
      <c r="M1366" s="408"/>
      <c r="N1366" s="408"/>
      <c r="O1366" s="408"/>
      <c r="P1366" s="408"/>
      <c r="Q1366" s="408"/>
      <c r="R1366" s="408"/>
      <c r="S1366" s="408"/>
      <c r="T1366" s="408"/>
      <c r="U1366" s="408"/>
      <c r="V1366" s="23"/>
    </row>
    <row r="1367" spans="1:32" s="16" customFormat="1" ht="15" customHeight="1" x14ac:dyDescent="0.2">
      <c r="A1367" s="11"/>
      <c r="B1367" s="125"/>
      <c r="C1367" s="408" t="s">
        <v>462</v>
      </c>
      <c r="D1367" s="408"/>
      <c r="E1367" s="408"/>
      <c r="F1367" s="408"/>
      <c r="G1367" s="408"/>
      <c r="H1367" s="408"/>
      <c r="I1367" s="408"/>
      <c r="J1367" s="408"/>
      <c r="K1367" s="408"/>
      <c r="L1367" s="408"/>
      <c r="M1367" s="408"/>
      <c r="N1367" s="408"/>
      <c r="O1367" s="408"/>
      <c r="P1367" s="408"/>
      <c r="Q1367" s="408"/>
      <c r="R1367" s="408"/>
      <c r="S1367" s="408"/>
      <c r="T1367" s="408"/>
      <c r="U1367" s="408"/>
      <c r="V1367" s="23"/>
    </row>
    <row r="1368" spans="1:32" s="16" customFormat="1" ht="21" customHeight="1" x14ac:dyDescent="0.2">
      <c r="A1368" s="11"/>
      <c r="B1368" s="125"/>
      <c r="C1368" s="408" t="str">
        <f>"Mutasi Debet sebesar Rp. "&amp;FIXED(F1363+L1363)&amp;"."</f>
        <v>Mutasi Debet sebesar Rp. 0,00.</v>
      </c>
      <c r="D1368" s="408"/>
      <c r="E1368" s="408"/>
      <c r="F1368" s="408"/>
      <c r="G1368" s="408"/>
      <c r="H1368" s="408"/>
      <c r="I1368" s="408"/>
      <c r="J1368" s="408"/>
      <c r="K1368" s="408"/>
      <c r="L1368" s="408"/>
      <c r="M1368" s="408"/>
      <c r="N1368" s="408"/>
      <c r="O1368" s="408"/>
      <c r="P1368" s="408"/>
      <c r="Q1368" s="408"/>
      <c r="R1368" s="408"/>
      <c r="S1368" s="408"/>
      <c r="T1368" s="408"/>
      <c r="U1368" s="408"/>
      <c r="V1368" s="23"/>
    </row>
    <row r="1369" spans="1:32" s="16" customFormat="1" ht="15" customHeight="1" x14ac:dyDescent="0.2">
      <c r="A1369" s="11"/>
      <c r="B1369" s="125"/>
      <c r="C1369" s="408" t="s">
        <v>463</v>
      </c>
      <c r="D1369" s="408"/>
      <c r="E1369" s="408"/>
      <c r="F1369" s="408"/>
      <c r="G1369" s="408"/>
      <c r="H1369" s="408"/>
      <c r="I1369" s="408"/>
      <c r="J1369" s="408"/>
      <c r="K1369" s="408"/>
      <c r="L1369" s="408"/>
      <c r="M1369" s="408"/>
      <c r="N1369" s="408"/>
      <c r="O1369" s="408"/>
      <c r="P1369" s="408"/>
      <c r="Q1369" s="408"/>
      <c r="R1369" s="408"/>
      <c r="S1369" s="408"/>
      <c r="T1369" s="408"/>
      <c r="U1369" s="408"/>
      <c r="V1369" s="23"/>
    </row>
    <row r="1370" spans="1:32" s="16" customFormat="1" ht="21" customHeight="1" x14ac:dyDescent="0.2">
      <c r="A1370" s="11"/>
      <c r="B1370" s="203"/>
      <c r="C1370" s="408" t="str">
        <f>"Mutasi Kredit Rp. "&amp;FIXED(I1363+O1363)&amp;""</f>
        <v>Mutasi Kredit Rp. 0,00</v>
      </c>
      <c r="D1370" s="408"/>
      <c r="E1370" s="408"/>
      <c r="F1370" s="408"/>
      <c r="G1370" s="408"/>
      <c r="H1370" s="408"/>
      <c r="I1370" s="408"/>
      <c r="J1370" s="408"/>
      <c r="K1370" s="408"/>
      <c r="L1370" s="408"/>
      <c r="M1370" s="408"/>
      <c r="N1370" s="408"/>
      <c r="O1370" s="408"/>
      <c r="P1370" s="408"/>
      <c r="Q1370" s="408"/>
      <c r="R1370" s="408"/>
      <c r="S1370" s="408"/>
      <c r="T1370" s="408"/>
      <c r="U1370" s="408"/>
      <c r="V1370" s="23"/>
    </row>
    <row r="1371" spans="1:32" s="16" customFormat="1" ht="15" customHeight="1" x14ac:dyDescent="0.2">
      <c r="A1371" s="11"/>
      <c r="B1371" s="103"/>
      <c r="C1371" s="97"/>
      <c r="D1371" s="97"/>
      <c r="E1371" s="97"/>
      <c r="F1371" s="97"/>
      <c r="G1371" s="97"/>
      <c r="H1371" s="97"/>
      <c r="I1371" s="97"/>
      <c r="J1371" s="97"/>
      <c r="K1371" s="97"/>
      <c r="L1371" s="97"/>
      <c r="M1371" s="97"/>
      <c r="N1371" s="134"/>
      <c r="O1371" s="134"/>
      <c r="P1371" s="134"/>
      <c r="Q1371" s="134"/>
      <c r="R1371" s="134"/>
      <c r="S1371" s="134"/>
      <c r="T1371" s="134"/>
      <c r="U1371" s="134"/>
      <c r="V1371" s="23"/>
    </row>
    <row r="1372" spans="1:32" s="16" customFormat="1" ht="18" customHeight="1" x14ac:dyDescent="0.2">
      <c r="A1372" s="11"/>
      <c r="B1372" s="202" t="s">
        <v>467</v>
      </c>
      <c r="C1372" s="402" t="str">
        <f>'[1]4.NERACA'!C116</f>
        <v>Bangunan Air Kotor</v>
      </c>
      <c r="D1372" s="402"/>
      <c r="E1372" s="402"/>
      <c r="F1372" s="402"/>
      <c r="G1372" s="402"/>
      <c r="H1372" s="402"/>
      <c r="I1372" s="402"/>
      <c r="J1372" s="402"/>
      <c r="K1372" s="402"/>
      <c r="L1372" s="402"/>
      <c r="M1372" s="402"/>
      <c r="N1372" s="402"/>
      <c r="O1372" s="402"/>
      <c r="P1372" s="402"/>
      <c r="Q1372" s="402"/>
      <c r="R1372" s="402"/>
      <c r="S1372" s="402"/>
      <c r="T1372" s="402"/>
      <c r="U1372" s="402"/>
      <c r="V1372" s="23"/>
    </row>
    <row r="1373" spans="1:32" s="16" customFormat="1" ht="63.75" customHeight="1" x14ac:dyDescent="0.2">
      <c r="A1373" s="11"/>
      <c r="C1373" s="407" t="str">
        <f>"Nilai aset tetap berupa "&amp;C1372&amp;"  per "&amp;'[1]2.ISIAN DATA SKPD'!D12&amp;" dan  "&amp;'[1]2.ISIAN DATA SKPD'!D21&amp;" adalah sebesar Rp. "&amp;FIXED(R1378)&amp;" dan Rp. "&amp;FIXED(B1378)&amp;" tidak  mengalami kenaikan/penurunan sebesar Rp. "&amp;FIXED(AC1378)&amp;" atau sebesar "&amp;FIXED(Y1378)&amp;"% dari tahun "&amp;'[1]2.ISIAN DATA SKPD'!D12&amp;"."</f>
        <v>Nilai aset tetap berupa Bangunan Air Kotor  per 2017 dan   adalah sebesar Rp. 0,00 dan Rp. 0,00 tidak  mengalami kenaikan/penurunan sebesar Rp. 0,00 atau sebesar 0,00% dari tahun 2017.</v>
      </c>
      <c r="D1373" s="407"/>
      <c r="E1373" s="407"/>
      <c r="F1373" s="407"/>
      <c r="G1373" s="407"/>
      <c r="H1373" s="407"/>
      <c r="I1373" s="407"/>
      <c r="J1373" s="407"/>
      <c r="K1373" s="407"/>
      <c r="L1373" s="407"/>
      <c r="M1373" s="407"/>
      <c r="N1373" s="407"/>
      <c r="O1373" s="407"/>
      <c r="P1373" s="407"/>
      <c r="Q1373" s="407"/>
      <c r="R1373" s="407"/>
      <c r="S1373" s="407"/>
      <c r="T1373" s="407"/>
      <c r="U1373" s="407"/>
      <c r="V1373" s="23"/>
    </row>
    <row r="1374" spans="1:32" s="16" customFormat="1" x14ac:dyDescent="0.2">
      <c r="A1374" s="11"/>
      <c r="C1374" s="407" t="str">
        <f>"Dengan mutasi  selama tahun "&amp;'[1]2.ISIAN DATA SKPD'!D11&amp;" sebagai berikut :"</f>
        <v>Dengan mutasi  selama tahun 2018 sebagai berikut :</v>
      </c>
      <c r="D1374" s="407"/>
      <c r="E1374" s="407"/>
      <c r="F1374" s="407"/>
      <c r="G1374" s="407"/>
      <c r="H1374" s="407"/>
      <c r="I1374" s="407"/>
      <c r="J1374" s="407"/>
      <c r="K1374" s="407"/>
      <c r="L1374" s="407"/>
      <c r="M1374" s="407"/>
      <c r="N1374" s="407"/>
      <c r="O1374" s="407"/>
      <c r="P1374" s="407"/>
      <c r="Q1374" s="407"/>
      <c r="R1374" s="407"/>
      <c r="S1374" s="407"/>
      <c r="T1374" s="407"/>
      <c r="U1374" s="407"/>
      <c r="V1374" s="23"/>
    </row>
    <row r="1375" spans="1:32" s="16" customFormat="1" x14ac:dyDescent="0.2">
      <c r="A1375" s="11"/>
      <c r="C1375" s="225"/>
      <c r="D1375" s="225"/>
      <c r="E1375" s="225"/>
      <c r="F1375" s="225"/>
      <c r="G1375" s="225"/>
      <c r="H1375" s="225"/>
      <c r="I1375" s="225"/>
      <c r="J1375" s="225"/>
      <c r="K1375" s="225"/>
      <c r="L1375" s="225"/>
      <c r="M1375" s="225"/>
      <c r="N1375" s="225"/>
      <c r="O1375" s="225"/>
      <c r="P1375" s="225"/>
      <c r="Q1375" s="225"/>
      <c r="R1375" s="225"/>
      <c r="S1375" s="225"/>
      <c r="T1375" s="225"/>
      <c r="U1375" s="225"/>
      <c r="V1375" s="23"/>
    </row>
    <row r="1376" spans="1:32" s="16" customFormat="1" ht="15" customHeight="1" x14ac:dyDescent="0.2">
      <c r="A1376" s="567" t="s">
        <v>125</v>
      </c>
      <c r="B1376" s="602" t="s">
        <v>443</v>
      </c>
      <c r="C1376" s="603"/>
      <c r="D1376" s="603"/>
      <c r="E1376" s="604"/>
      <c r="F1376" s="605" t="s">
        <v>444</v>
      </c>
      <c r="G1376" s="605"/>
      <c r="H1376" s="605"/>
      <c r="I1376" s="605"/>
      <c r="J1376" s="605"/>
      <c r="K1376" s="605"/>
      <c r="L1376" s="605" t="s">
        <v>445</v>
      </c>
      <c r="M1376" s="605"/>
      <c r="N1376" s="605"/>
      <c r="O1376" s="605"/>
      <c r="P1376" s="605"/>
      <c r="Q1376" s="605"/>
      <c r="R1376" s="600" t="s">
        <v>446</v>
      </c>
      <c r="S1376" s="600"/>
      <c r="T1376" s="600"/>
      <c r="U1376" s="600"/>
      <c r="V1376" s="23"/>
    </row>
    <row r="1377" spans="1:32" s="16" customFormat="1" ht="15" customHeight="1" x14ac:dyDescent="0.2">
      <c r="A1377" s="568"/>
      <c r="B1377" s="616">
        <f>B1362</f>
        <v>2017</v>
      </c>
      <c r="C1377" s="617"/>
      <c r="D1377" s="617"/>
      <c r="E1377" s="618"/>
      <c r="F1377" s="600" t="s">
        <v>447</v>
      </c>
      <c r="G1377" s="600"/>
      <c r="H1377" s="600"/>
      <c r="I1377" s="599" t="s">
        <v>448</v>
      </c>
      <c r="J1377" s="599"/>
      <c r="K1377" s="599"/>
      <c r="L1377" s="600" t="s">
        <v>447</v>
      </c>
      <c r="M1377" s="600"/>
      <c r="N1377" s="600"/>
      <c r="O1377" s="601" t="s">
        <v>448</v>
      </c>
      <c r="P1377" s="601"/>
      <c r="Q1377" s="601"/>
      <c r="R1377" s="713">
        <f>R1362</f>
        <v>2018</v>
      </c>
      <c r="S1377" s="714"/>
      <c r="T1377" s="714"/>
      <c r="U1377" s="715"/>
      <c r="V1377" s="487"/>
      <c r="W1377" s="480"/>
      <c r="X1377" s="480"/>
      <c r="Y1377" s="471" t="s">
        <v>449</v>
      </c>
      <c r="Z1377" s="480"/>
      <c r="AA1377" s="480"/>
      <c r="AB1377" s="480"/>
      <c r="AC1377" s="488" t="s">
        <v>438</v>
      </c>
      <c r="AD1377" s="489"/>
      <c r="AE1377" s="489"/>
      <c r="AF1377" s="489"/>
    </row>
    <row r="1378" spans="1:32" s="16" customFormat="1" ht="27.75" customHeight="1" x14ac:dyDescent="0.2">
      <c r="A1378" s="200" t="str">
        <f>C1372</f>
        <v>Bangunan Air Kotor</v>
      </c>
      <c r="B1378" s="580">
        <f>'[1]4.NERACA'!D116</f>
        <v>0</v>
      </c>
      <c r="C1378" s="581"/>
      <c r="D1378" s="581"/>
      <c r="E1378" s="582"/>
      <c r="F1378" s="580">
        <f>'[1]4.NERACA'!E116</f>
        <v>0</v>
      </c>
      <c r="G1378" s="581"/>
      <c r="H1378" s="582"/>
      <c r="I1378" s="682">
        <f>'[1]4.NERACA'!F116</f>
        <v>0</v>
      </c>
      <c r="J1378" s="683"/>
      <c r="K1378" s="684"/>
      <c r="L1378" s="580">
        <f>'[1]4.NERACA'!G116</f>
        <v>0</v>
      </c>
      <c r="M1378" s="581"/>
      <c r="N1378" s="582"/>
      <c r="O1378" s="580">
        <f>'[1]4.NERACA'!H116</f>
        <v>0</v>
      </c>
      <c r="P1378" s="581"/>
      <c r="Q1378" s="582"/>
      <c r="R1378" s="580">
        <f>B1378+F1378-I1378+L1378-O1378</f>
        <v>0</v>
      </c>
      <c r="S1378" s="581"/>
      <c r="T1378" s="581"/>
      <c r="U1378" s="582"/>
      <c r="V1378" s="479"/>
      <c r="W1378" s="480"/>
      <c r="X1378" s="480"/>
      <c r="Y1378" s="471">
        <v>0</v>
      </c>
      <c r="Z1378" s="480"/>
      <c r="AA1378" s="480"/>
      <c r="AB1378" s="480"/>
      <c r="AC1378" s="471">
        <f>R1378-B1378</f>
        <v>0</v>
      </c>
      <c r="AD1378" s="472"/>
      <c r="AE1378" s="472"/>
      <c r="AF1378" s="472"/>
    </row>
    <row r="1379" spans="1:32" s="16" customFormat="1" ht="15" customHeight="1" x14ac:dyDescent="0.2">
      <c r="A1379" s="11"/>
      <c r="B1379" s="669" t="s">
        <v>461</v>
      </c>
      <c r="C1379" s="669"/>
      <c r="D1379" s="669"/>
      <c r="E1379" s="669"/>
      <c r="F1379" s="669"/>
      <c r="G1379" s="669"/>
      <c r="H1379" s="669"/>
      <c r="I1379" s="669"/>
      <c r="J1379" s="669"/>
      <c r="K1379" s="669"/>
      <c r="L1379" s="669"/>
      <c r="M1379" s="669"/>
      <c r="N1379" s="669"/>
      <c r="O1379" s="669"/>
      <c r="P1379" s="669"/>
      <c r="Q1379" s="669"/>
      <c r="R1379" s="669"/>
      <c r="S1379" s="669"/>
      <c r="T1379" s="669"/>
      <c r="U1379" s="669"/>
      <c r="V1379" s="23"/>
    </row>
    <row r="1380" spans="1:32" s="16" customFormat="1" ht="15" customHeight="1" x14ac:dyDescent="0.2">
      <c r="A1380" s="11"/>
      <c r="B1380" s="125"/>
      <c r="C1380" s="408" t="s">
        <v>462</v>
      </c>
      <c r="D1380" s="408"/>
      <c r="E1380" s="408"/>
      <c r="F1380" s="408"/>
      <c r="G1380" s="408"/>
      <c r="H1380" s="408"/>
      <c r="I1380" s="408"/>
      <c r="J1380" s="408"/>
      <c r="K1380" s="408"/>
      <c r="L1380" s="408"/>
      <c r="M1380" s="408"/>
      <c r="N1380" s="408"/>
      <c r="O1380" s="408"/>
      <c r="P1380" s="408"/>
      <c r="Q1380" s="408"/>
      <c r="R1380" s="408"/>
      <c r="S1380" s="408"/>
      <c r="T1380" s="408"/>
      <c r="U1380" s="408"/>
      <c r="V1380" s="23"/>
    </row>
    <row r="1381" spans="1:32" s="16" customFormat="1" ht="18" customHeight="1" x14ac:dyDescent="0.2">
      <c r="A1381" s="11"/>
      <c r="B1381" s="125"/>
      <c r="C1381" s="408" t="str">
        <f>"Mutasi Debet sebesar Rp. "&amp;FIXED(F1378+L1378)&amp;"."</f>
        <v>Mutasi Debet sebesar Rp. 0,00.</v>
      </c>
      <c r="D1381" s="408"/>
      <c r="E1381" s="408"/>
      <c r="F1381" s="408"/>
      <c r="G1381" s="408"/>
      <c r="H1381" s="408"/>
      <c r="I1381" s="408"/>
      <c r="J1381" s="408"/>
      <c r="K1381" s="408"/>
      <c r="L1381" s="408"/>
      <c r="M1381" s="408"/>
      <c r="N1381" s="408"/>
      <c r="O1381" s="408"/>
      <c r="P1381" s="408"/>
      <c r="Q1381" s="408"/>
      <c r="R1381" s="408"/>
      <c r="S1381" s="408"/>
      <c r="T1381" s="408"/>
      <c r="U1381" s="408"/>
      <c r="V1381" s="23"/>
    </row>
    <row r="1382" spans="1:32" s="16" customFormat="1" ht="15" customHeight="1" x14ac:dyDescent="0.2">
      <c r="A1382" s="11"/>
      <c r="B1382" s="125"/>
      <c r="C1382" s="408" t="s">
        <v>463</v>
      </c>
      <c r="D1382" s="408"/>
      <c r="E1382" s="408"/>
      <c r="F1382" s="408"/>
      <c r="G1382" s="408"/>
      <c r="H1382" s="408"/>
      <c r="I1382" s="408"/>
      <c r="J1382" s="408"/>
      <c r="K1382" s="408"/>
      <c r="L1382" s="408"/>
      <c r="M1382" s="408"/>
      <c r="N1382" s="408"/>
      <c r="O1382" s="408"/>
      <c r="P1382" s="408"/>
      <c r="Q1382" s="408"/>
      <c r="R1382" s="408"/>
      <c r="S1382" s="408"/>
      <c r="T1382" s="408"/>
      <c r="U1382" s="408"/>
      <c r="V1382" s="23"/>
    </row>
    <row r="1383" spans="1:32" s="16" customFormat="1" ht="16.5" customHeight="1" x14ac:dyDescent="0.2">
      <c r="A1383" s="11"/>
      <c r="B1383" s="203"/>
      <c r="C1383" s="408" t="str">
        <f>"Mutasi Kredit Rp. "&amp;FIXED(I1378+O1378)&amp;" "</f>
        <v xml:space="preserve">Mutasi Kredit Rp. 0,00 </v>
      </c>
      <c r="D1383" s="408"/>
      <c r="E1383" s="408"/>
      <c r="F1383" s="408"/>
      <c r="G1383" s="408"/>
      <c r="H1383" s="408"/>
      <c r="I1383" s="408"/>
      <c r="J1383" s="408"/>
      <c r="K1383" s="408"/>
      <c r="L1383" s="408"/>
      <c r="M1383" s="408"/>
      <c r="N1383" s="408"/>
      <c r="O1383" s="408"/>
      <c r="P1383" s="408"/>
      <c r="Q1383" s="408"/>
      <c r="R1383" s="408"/>
      <c r="S1383" s="408"/>
      <c r="T1383" s="408"/>
      <c r="U1383" s="408"/>
      <c r="V1383" s="23"/>
    </row>
    <row r="1384" spans="1:32" s="16" customFormat="1" ht="15" customHeight="1" x14ac:dyDescent="0.2">
      <c r="A1384" s="11"/>
      <c r="B1384" s="202" t="s">
        <v>469</v>
      </c>
      <c r="C1384" s="402" t="str">
        <f>'[1]4.NERACA'!C117</f>
        <v>Bangunan Air</v>
      </c>
      <c r="D1384" s="402"/>
      <c r="E1384" s="402"/>
      <c r="F1384" s="402"/>
      <c r="G1384" s="402"/>
      <c r="H1384" s="402"/>
      <c r="I1384" s="402"/>
      <c r="J1384" s="402"/>
      <c r="K1384" s="402"/>
      <c r="L1384" s="402"/>
      <c r="M1384" s="402"/>
      <c r="N1384" s="402"/>
      <c r="O1384" s="402"/>
      <c r="P1384" s="402"/>
      <c r="Q1384" s="402"/>
      <c r="R1384" s="402"/>
      <c r="S1384" s="402"/>
      <c r="T1384" s="402"/>
      <c r="U1384" s="402"/>
      <c r="V1384" s="23"/>
    </row>
    <row r="1385" spans="1:32" s="16" customFormat="1" ht="48.75" customHeight="1" x14ac:dyDescent="0.2">
      <c r="A1385" s="11"/>
      <c r="C1385" s="407" t="str">
        <f>"Nilai aset tetap berupa "&amp;C1384&amp;"  per "&amp;'[1]2.ISIAN DATA SKPD'!D8&amp;" dan  "&amp;'[1]2.ISIAN DATA SKPD'!D12&amp;" adalah sebesar Rp. "&amp;FIXED(R1390)&amp;" dan Rp. "&amp;FIXED(B1390)&amp;" tidak mengalami kenaikan/penurunan sebesar Rp. "&amp;FIXED(AC1390)&amp;" atau sebesar "&amp;FIXED(Y1390)&amp;"% dari tahun "&amp;'[1]2.ISIAN DATA SKPD'!D12&amp;"."</f>
        <v>Nilai aset tetap berupa Bangunan Air  per 31 Desember 2018 dan  2017 adalah sebesar Rp. 0,00 dan Rp. 0,00 tidak mengalami kenaikan/penurunan sebesar Rp. 0,00 atau sebesar 0,00% dari tahun 2017.</v>
      </c>
      <c r="D1385" s="407"/>
      <c r="E1385" s="407"/>
      <c r="F1385" s="407"/>
      <c r="G1385" s="407"/>
      <c r="H1385" s="407"/>
      <c r="I1385" s="407"/>
      <c r="J1385" s="407"/>
      <c r="K1385" s="407"/>
      <c r="L1385" s="407"/>
      <c r="M1385" s="407"/>
      <c r="N1385" s="407"/>
      <c r="O1385" s="407"/>
      <c r="P1385" s="407"/>
      <c r="Q1385" s="407"/>
      <c r="R1385" s="407"/>
      <c r="S1385" s="407"/>
      <c r="T1385" s="407"/>
      <c r="U1385" s="407"/>
      <c r="V1385" s="23"/>
    </row>
    <row r="1386" spans="1:32" s="16" customFormat="1" ht="18" customHeight="1" x14ac:dyDescent="0.2">
      <c r="A1386" s="11"/>
      <c r="B1386" s="77"/>
      <c r="C1386" s="407" t="str">
        <f>"Dengan mutasi  selama tahun "&amp;'[1]2.ISIAN DATA SKPD'!D11&amp;" sebagai berikut :"</f>
        <v>Dengan mutasi  selama tahun 2018 sebagai berikut :</v>
      </c>
      <c r="D1386" s="407"/>
      <c r="E1386" s="407"/>
      <c r="F1386" s="407"/>
      <c r="G1386" s="407"/>
      <c r="H1386" s="407"/>
      <c r="I1386" s="407"/>
      <c r="J1386" s="407"/>
      <c r="K1386" s="407"/>
      <c r="L1386" s="407"/>
      <c r="M1386" s="407"/>
      <c r="N1386" s="407"/>
      <c r="O1386" s="407"/>
      <c r="P1386" s="407"/>
      <c r="Q1386" s="407"/>
      <c r="R1386" s="407"/>
      <c r="S1386" s="407"/>
      <c r="T1386" s="407"/>
      <c r="U1386" s="407"/>
      <c r="V1386" s="23"/>
    </row>
    <row r="1387" spans="1:32" s="16" customFormat="1" ht="17.25" customHeight="1" x14ac:dyDescent="0.2">
      <c r="A1387" s="11"/>
      <c r="B1387" s="77"/>
      <c r="C1387" s="225"/>
      <c r="D1387" s="225"/>
      <c r="E1387" s="225"/>
      <c r="F1387" s="225"/>
      <c r="G1387" s="225"/>
      <c r="H1387" s="225"/>
      <c r="I1387" s="225"/>
      <c r="J1387" s="225"/>
      <c r="K1387" s="225"/>
      <c r="L1387" s="225"/>
      <c r="M1387" s="225"/>
      <c r="N1387" s="225"/>
      <c r="O1387" s="225"/>
      <c r="P1387" s="225"/>
      <c r="Q1387" s="225"/>
      <c r="R1387" s="225"/>
      <c r="S1387" s="225"/>
      <c r="T1387" s="225"/>
      <c r="U1387" s="225"/>
      <c r="V1387" s="23"/>
    </row>
    <row r="1388" spans="1:32" s="16" customFormat="1" ht="15" customHeight="1" x14ac:dyDescent="0.2">
      <c r="A1388" s="567" t="s">
        <v>125</v>
      </c>
      <c r="B1388" s="602" t="s">
        <v>443</v>
      </c>
      <c r="C1388" s="603"/>
      <c r="D1388" s="603"/>
      <c r="E1388" s="604"/>
      <c r="F1388" s="605" t="s">
        <v>444</v>
      </c>
      <c r="G1388" s="605"/>
      <c r="H1388" s="605"/>
      <c r="I1388" s="605"/>
      <c r="J1388" s="605"/>
      <c r="K1388" s="605"/>
      <c r="L1388" s="605" t="s">
        <v>445</v>
      </c>
      <c r="M1388" s="605"/>
      <c r="N1388" s="605"/>
      <c r="O1388" s="605"/>
      <c r="P1388" s="605"/>
      <c r="Q1388" s="605"/>
      <c r="R1388" s="600" t="s">
        <v>446</v>
      </c>
      <c r="S1388" s="600"/>
      <c r="T1388" s="600"/>
      <c r="U1388" s="600"/>
      <c r="V1388" s="23"/>
    </row>
    <row r="1389" spans="1:32" s="16" customFormat="1" ht="15" customHeight="1" x14ac:dyDescent="0.2">
      <c r="A1389" s="568"/>
      <c r="B1389" s="616">
        <f>B1377</f>
        <v>2017</v>
      </c>
      <c r="C1389" s="617"/>
      <c r="D1389" s="617"/>
      <c r="E1389" s="618"/>
      <c r="F1389" s="600" t="s">
        <v>447</v>
      </c>
      <c r="G1389" s="600"/>
      <c r="H1389" s="600"/>
      <c r="I1389" s="599" t="s">
        <v>448</v>
      </c>
      <c r="J1389" s="599"/>
      <c r="K1389" s="599"/>
      <c r="L1389" s="600" t="s">
        <v>447</v>
      </c>
      <c r="M1389" s="600"/>
      <c r="N1389" s="600"/>
      <c r="O1389" s="601" t="s">
        <v>448</v>
      </c>
      <c r="P1389" s="601"/>
      <c r="Q1389" s="601"/>
      <c r="R1389" s="713">
        <f>R1377</f>
        <v>2018</v>
      </c>
      <c r="S1389" s="714"/>
      <c r="T1389" s="714"/>
      <c r="U1389" s="715"/>
      <c r="V1389" s="487"/>
      <c r="W1389" s="480"/>
      <c r="X1389" s="480"/>
      <c r="Y1389" s="471" t="s">
        <v>449</v>
      </c>
      <c r="Z1389" s="480"/>
      <c r="AA1389" s="480"/>
      <c r="AB1389" s="480"/>
      <c r="AC1389" s="488" t="s">
        <v>438</v>
      </c>
      <c r="AD1389" s="489"/>
      <c r="AE1389" s="489"/>
      <c r="AF1389" s="489"/>
    </row>
    <row r="1390" spans="1:32" s="16" customFormat="1" ht="15" customHeight="1" x14ac:dyDescent="0.2">
      <c r="A1390" s="200" t="str">
        <f>C1384</f>
        <v>Bangunan Air</v>
      </c>
      <c r="B1390" s="606">
        <f>'[1]4.NERACA'!D117</f>
        <v>0</v>
      </c>
      <c r="C1390" s="607"/>
      <c r="D1390" s="607"/>
      <c r="E1390" s="608"/>
      <c r="F1390" s="606">
        <f>'[1]4.NERACA'!E117</f>
        <v>0</v>
      </c>
      <c r="G1390" s="607"/>
      <c r="H1390" s="608"/>
      <c r="I1390" s="686">
        <f>'[1]4.NERACA'!F117</f>
        <v>0</v>
      </c>
      <c r="J1390" s="687"/>
      <c r="K1390" s="688"/>
      <c r="L1390" s="606">
        <f>'[1]4.NERACA'!G117</f>
        <v>0</v>
      </c>
      <c r="M1390" s="607"/>
      <c r="N1390" s="608"/>
      <c r="O1390" s="606">
        <f>'[1]4.NERACA'!H117</f>
        <v>0</v>
      </c>
      <c r="P1390" s="607"/>
      <c r="Q1390" s="608"/>
      <c r="R1390" s="606">
        <f>B1390+F1390-I1390+L1390-O1390</f>
        <v>0</v>
      </c>
      <c r="S1390" s="607"/>
      <c r="T1390" s="607"/>
      <c r="U1390" s="608"/>
      <c r="V1390" s="479"/>
      <c r="W1390" s="480"/>
      <c r="X1390" s="480"/>
      <c r="Y1390" s="471">
        <v>0</v>
      </c>
      <c r="Z1390" s="480"/>
      <c r="AA1390" s="480"/>
      <c r="AB1390" s="480"/>
      <c r="AC1390" s="471">
        <f>R1390-B1390</f>
        <v>0</v>
      </c>
      <c r="AD1390" s="472"/>
      <c r="AE1390" s="472"/>
      <c r="AF1390" s="472"/>
    </row>
    <row r="1391" spans="1:32" s="16" customFormat="1" ht="15" customHeight="1" x14ac:dyDescent="0.2">
      <c r="A1391" s="11"/>
      <c r="B1391" s="229"/>
      <c r="C1391" s="229"/>
      <c r="D1391" s="229"/>
      <c r="E1391" s="229"/>
      <c r="F1391" s="229"/>
      <c r="G1391" s="229"/>
      <c r="H1391" s="229"/>
      <c r="I1391" s="229"/>
      <c r="J1391" s="229"/>
      <c r="K1391" s="229"/>
      <c r="L1391" s="229"/>
      <c r="M1391" s="229"/>
      <c r="N1391" s="229"/>
      <c r="O1391" s="229"/>
      <c r="P1391" s="229"/>
      <c r="Q1391" s="229"/>
      <c r="R1391" s="229"/>
      <c r="S1391" s="229"/>
      <c r="T1391" s="229"/>
      <c r="U1391" s="229"/>
      <c r="V1391" s="112"/>
      <c r="W1391" s="211"/>
      <c r="X1391" s="211"/>
      <c r="Y1391" s="113"/>
      <c r="Z1391" s="211"/>
      <c r="AA1391" s="211"/>
      <c r="AB1391" s="211"/>
      <c r="AC1391" s="113"/>
      <c r="AD1391" s="114"/>
      <c r="AE1391" s="114"/>
      <c r="AF1391" s="114"/>
    </row>
    <row r="1392" spans="1:32" s="16" customFormat="1" ht="15" customHeight="1" x14ac:dyDescent="0.2">
      <c r="A1392" s="11"/>
      <c r="B1392" s="408" t="s">
        <v>461</v>
      </c>
      <c r="C1392" s="408"/>
      <c r="D1392" s="408"/>
      <c r="E1392" s="408"/>
      <c r="F1392" s="408"/>
      <c r="G1392" s="408"/>
      <c r="H1392" s="408"/>
      <c r="I1392" s="408"/>
      <c r="J1392" s="408"/>
      <c r="K1392" s="408"/>
      <c r="L1392" s="408"/>
      <c r="M1392" s="408"/>
      <c r="N1392" s="408"/>
      <c r="O1392" s="408"/>
      <c r="P1392" s="408"/>
      <c r="Q1392" s="408"/>
      <c r="R1392" s="408"/>
      <c r="S1392" s="408"/>
      <c r="T1392" s="408"/>
      <c r="U1392" s="408"/>
      <c r="V1392" s="23"/>
    </row>
    <row r="1393" spans="1:32" s="16" customFormat="1" ht="15" customHeight="1" x14ac:dyDescent="0.2">
      <c r="A1393" s="11"/>
      <c r="B1393" s="125"/>
      <c r="C1393" s="408" t="s">
        <v>462</v>
      </c>
      <c r="D1393" s="408"/>
      <c r="E1393" s="408"/>
      <c r="F1393" s="408"/>
      <c r="G1393" s="408"/>
      <c r="H1393" s="408"/>
      <c r="I1393" s="408"/>
      <c r="J1393" s="408"/>
      <c r="K1393" s="408"/>
      <c r="L1393" s="408"/>
      <c r="M1393" s="408"/>
      <c r="N1393" s="408"/>
      <c r="O1393" s="408"/>
      <c r="P1393" s="408"/>
      <c r="Q1393" s="408"/>
      <c r="R1393" s="408"/>
      <c r="S1393" s="408"/>
      <c r="T1393" s="408"/>
      <c r="U1393" s="408"/>
      <c r="V1393" s="23"/>
    </row>
    <row r="1394" spans="1:32" s="16" customFormat="1" ht="18.75" customHeight="1" x14ac:dyDescent="0.2">
      <c r="A1394" s="11"/>
      <c r="B1394" s="125"/>
      <c r="C1394" s="408" t="str">
        <f>"Mutasi Debet sebesar Rp. "&amp;FIXED(F1390+L1390)&amp;"."</f>
        <v>Mutasi Debet sebesar Rp. 0,00.</v>
      </c>
      <c r="D1394" s="408"/>
      <c r="E1394" s="408"/>
      <c r="F1394" s="408"/>
      <c r="G1394" s="408"/>
      <c r="H1394" s="408"/>
      <c r="I1394" s="408"/>
      <c r="J1394" s="408"/>
      <c r="K1394" s="408"/>
      <c r="L1394" s="408"/>
      <c r="M1394" s="408"/>
      <c r="N1394" s="408"/>
      <c r="O1394" s="408"/>
      <c r="P1394" s="408"/>
      <c r="Q1394" s="408"/>
      <c r="R1394" s="408"/>
      <c r="S1394" s="408"/>
      <c r="T1394" s="408"/>
      <c r="U1394" s="408"/>
      <c r="V1394" s="23"/>
    </row>
    <row r="1395" spans="1:32" s="16" customFormat="1" ht="15" customHeight="1" x14ac:dyDescent="0.2">
      <c r="A1395" s="11"/>
      <c r="B1395" s="125"/>
      <c r="C1395" s="408" t="s">
        <v>463</v>
      </c>
      <c r="D1395" s="408"/>
      <c r="E1395" s="408"/>
      <c r="F1395" s="408"/>
      <c r="G1395" s="408"/>
      <c r="H1395" s="408"/>
      <c r="I1395" s="408"/>
      <c r="J1395" s="408"/>
      <c r="K1395" s="408"/>
      <c r="L1395" s="408"/>
      <c r="M1395" s="408"/>
      <c r="N1395" s="408"/>
      <c r="O1395" s="408"/>
      <c r="P1395" s="408"/>
      <c r="Q1395" s="408"/>
      <c r="R1395" s="408"/>
      <c r="S1395" s="408"/>
      <c r="T1395" s="408"/>
      <c r="U1395" s="408"/>
      <c r="V1395" s="23"/>
    </row>
    <row r="1396" spans="1:32" s="16" customFormat="1" ht="20.25" customHeight="1" x14ac:dyDescent="0.2">
      <c r="A1396" s="11"/>
      <c r="B1396" s="203"/>
      <c r="C1396" s="408" t="str">
        <f>"Mutasi Kredit Rp. "&amp;FIXED(I1390+O1390)&amp;" "</f>
        <v xml:space="preserve">Mutasi Kredit Rp. 0,00 </v>
      </c>
      <c r="D1396" s="408"/>
      <c r="E1396" s="408"/>
      <c r="F1396" s="408"/>
      <c r="G1396" s="408"/>
      <c r="H1396" s="408"/>
      <c r="I1396" s="408"/>
      <c r="J1396" s="408"/>
      <c r="K1396" s="408"/>
      <c r="L1396" s="408"/>
      <c r="M1396" s="408"/>
      <c r="N1396" s="408"/>
      <c r="O1396" s="408"/>
      <c r="P1396" s="408"/>
      <c r="Q1396" s="408"/>
      <c r="R1396" s="408"/>
      <c r="S1396" s="408"/>
      <c r="T1396" s="408"/>
      <c r="U1396" s="408"/>
      <c r="V1396" s="23"/>
    </row>
    <row r="1397" spans="1:32" s="16" customFormat="1" ht="15" customHeight="1" x14ac:dyDescent="0.2">
      <c r="A1397" s="11"/>
      <c r="B1397" s="103"/>
      <c r="C1397" s="103"/>
      <c r="D1397" s="103"/>
      <c r="E1397" s="103"/>
      <c r="F1397" s="103"/>
      <c r="G1397" s="103"/>
      <c r="H1397" s="103"/>
      <c r="I1397" s="103"/>
      <c r="J1397" s="103"/>
      <c r="K1397" s="103"/>
      <c r="L1397" s="103"/>
      <c r="M1397" s="103"/>
      <c r="N1397" s="133"/>
      <c r="O1397" s="133"/>
      <c r="P1397" s="133"/>
      <c r="Q1397" s="133"/>
      <c r="R1397" s="133"/>
      <c r="S1397" s="133"/>
      <c r="T1397" s="133"/>
      <c r="U1397" s="133"/>
      <c r="V1397" s="23"/>
    </row>
    <row r="1398" spans="1:32" s="16" customFormat="1" ht="17.25" customHeight="1" x14ac:dyDescent="0.2">
      <c r="A1398" s="11"/>
      <c r="B1398" s="202" t="s">
        <v>471</v>
      </c>
      <c r="C1398" s="402" t="str">
        <f>'[1]4.NERACA'!C118</f>
        <v>Instalasi Air Minum Bersih</v>
      </c>
      <c r="D1398" s="402"/>
      <c r="E1398" s="402"/>
      <c r="F1398" s="402"/>
      <c r="G1398" s="402"/>
      <c r="H1398" s="402"/>
      <c r="I1398" s="402"/>
      <c r="J1398" s="402"/>
      <c r="K1398" s="402"/>
      <c r="L1398" s="402"/>
      <c r="M1398" s="402"/>
      <c r="N1398" s="402"/>
      <c r="O1398" s="402"/>
      <c r="P1398" s="402"/>
      <c r="Q1398" s="402"/>
      <c r="R1398" s="402"/>
      <c r="S1398" s="402"/>
      <c r="T1398" s="402"/>
      <c r="U1398" s="402"/>
      <c r="V1398" s="23"/>
    </row>
    <row r="1399" spans="1:32" s="16" customFormat="1" ht="61.5" customHeight="1" x14ac:dyDescent="0.2">
      <c r="A1399" s="11"/>
      <c r="C1399" s="407" t="str">
        <f>"Nilai aset tetap berupa "&amp;C1398&amp;"  per "&amp;'[1]2.ISIAN DATA SKPD'!D8&amp;" dan  "&amp;'[1]2.ISIAN DATA SKPD'!D12&amp;" adalah sebesar Rp. "&amp;FIXED(R1408)&amp;" dan Rp. "&amp;FIXED(B1408)&amp;" mengalami kenaikan sebesar Rp. "&amp;FIXED(AC1408)&amp;" atau sebesar "&amp;FIXED(Y1408)&amp;"% dari tahun "&amp;'[1]2.ISIAN DATA SKPD'!D12&amp;"."</f>
        <v>Nilai aset tetap berupa Instalasi Air Minum Bersih  per 31 Desember 2018 dan  2017 adalah sebesar Rp. 487.990.500,00 dan Rp. 487.990.500,00 mengalami kenaikan sebesar Rp. 0,00 atau sebesar 0,00% dari tahun 2017.</v>
      </c>
      <c r="D1399" s="407"/>
      <c r="E1399" s="407"/>
      <c r="F1399" s="407"/>
      <c r="G1399" s="407"/>
      <c r="H1399" s="407"/>
      <c r="I1399" s="407"/>
      <c r="J1399" s="407"/>
      <c r="K1399" s="407"/>
      <c r="L1399" s="407"/>
      <c r="M1399" s="407"/>
      <c r="N1399" s="407"/>
      <c r="O1399" s="407"/>
      <c r="P1399" s="407"/>
      <c r="Q1399" s="407"/>
      <c r="R1399" s="407"/>
      <c r="S1399" s="407"/>
      <c r="T1399" s="407"/>
      <c r="U1399" s="407"/>
      <c r="V1399" s="23"/>
    </row>
    <row r="1400" spans="1:32" s="16" customFormat="1" ht="16.5" customHeight="1" x14ac:dyDescent="0.2">
      <c r="A1400" s="11"/>
      <c r="C1400" s="407" t="str">
        <f>"Dengan mutasi  selama tahun "&amp;'[1]2.ISIAN DATA SKPD'!D11&amp;" sebagai berikut :"</f>
        <v>Dengan mutasi  selama tahun 2018 sebagai berikut :</v>
      </c>
      <c r="D1400" s="407"/>
      <c r="E1400" s="407"/>
      <c r="F1400" s="407"/>
      <c r="G1400" s="407"/>
      <c r="H1400" s="407"/>
      <c r="I1400" s="407"/>
      <c r="J1400" s="407"/>
      <c r="K1400" s="407"/>
      <c r="L1400" s="407"/>
      <c r="M1400" s="407"/>
      <c r="N1400" s="407"/>
      <c r="O1400" s="407"/>
      <c r="P1400" s="407"/>
      <c r="Q1400" s="407"/>
      <c r="R1400" s="407"/>
      <c r="S1400" s="407"/>
      <c r="T1400" s="407"/>
      <c r="U1400" s="407"/>
      <c r="V1400" s="23"/>
    </row>
    <row r="1401" spans="1:32" s="16" customFormat="1" ht="16.5" customHeight="1" x14ac:dyDescent="0.2">
      <c r="A1401" s="11"/>
      <c r="C1401" s="77"/>
      <c r="D1401" s="77"/>
      <c r="E1401" s="77"/>
      <c r="F1401" s="77"/>
      <c r="G1401" s="77"/>
      <c r="H1401" s="77"/>
      <c r="I1401" s="77"/>
      <c r="J1401" s="77"/>
      <c r="K1401" s="77"/>
      <c r="L1401" s="77"/>
      <c r="M1401" s="77"/>
      <c r="N1401" s="77"/>
      <c r="O1401" s="77"/>
      <c r="P1401" s="77"/>
      <c r="Q1401" s="77"/>
      <c r="R1401" s="77"/>
      <c r="S1401" s="77"/>
      <c r="T1401" s="77"/>
      <c r="U1401" s="77"/>
      <c r="V1401" s="23"/>
    </row>
    <row r="1402" spans="1:32" s="16" customFormat="1" ht="16.5" customHeight="1" x14ac:dyDescent="0.2">
      <c r="A1402" s="11"/>
      <c r="C1402" s="77"/>
      <c r="D1402" s="77"/>
      <c r="E1402" s="77"/>
      <c r="F1402" s="77"/>
      <c r="G1402" s="77"/>
      <c r="H1402" s="77"/>
      <c r="I1402" s="77"/>
      <c r="J1402" s="77"/>
      <c r="K1402" s="77"/>
      <c r="L1402" s="77"/>
      <c r="M1402" s="77"/>
      <c r="N1402" s="77"/>
      <c r="O1402" s="77"/>
      <c r="P1402" s="77"/>
      <c r="Q1402" s="77"/>
      <c r="R1402" s="77"/>
      <c r="S1402" s="77"/>
      <c r="T1402" s="77"/>
      <c r="U1402" s="77"/>
      <c r="V1402" s="23"/>
    </row>
    <row r="1403" spans="1:32" s="16" customFormat="1" ht="16.5" customHeight="1" x14ac:dyDescent="0.2">
      <c r="A1403" s="11"/>
      <c r="C1403" s="77"/>
      <c r="D1403" s="77"/>
      <c r="E1403" s="77"/>
      <c r="F1403" s="77"/>
      <c r="G1403" s="77"/>
      <c r="H1403" s="77"/>
      <c r="I1403" s="77"/>
      <c r="J1403" s="77"/>
      <c r="K1403" s="77"/>
      <c r="L1403" s="77"/>
      <c r="M1403" s="77"/>
      <c r="N1403" s="77"/>
      <c r="O1403" s="77"/>
      <c r="P1403" s="77"/>
      <c r="Q1403" s="77"/>
      <c r="R1403" s="77"/>
      <c r="S1403" s="77"/>
      <c r="T1403" s="77"/>
      <c r="U1403" s="77"/>
      <c r="V1403" s="23"/>
    </row>
    <row r="1404" spans="1:32" s="16" customFormat="1" ht="16.5" customHeight="1" x14ac:dyDescent="0.2">
      <c r="A1404" s="11"/>
      <c r="C1404" s="77"/>
      <c r="D1404" s="77"/>
      <c r="E1404" s="77"/>
      <c r="F1404" s="77"/>
      <c r="G1404" s="77"/>
      <c r="H1404" s="77"/>
      <c r="I1404" s="77"/>
      <c r="J1404" s="77"/>
      <c r="K1404" s="77"/>
      <c r="L1404" s="77"/>
      <c r="M1404" s="77"/>
      <c r="N1404" s="77"/>
      <c r="O1404" s="77"/>
      <c r="P1404" s="77"/>
      <c r="Q1404" s="77"/>
      <c r="R1404" s="77"/>
      <c r="S1404" s="77"/>
      <c r="T1404" s="77"/>
      <c r="U1404" s="77"/>
      <c r="V1404" s="23"/>
    </row>
    <row r="1405" spans="1:32" s="16" customFormat="1" ht="16.5" customHeight="1" x14ac:dyDescent="0.2">
      <c r="A1405" s="11"/>
      <c r="C1405" s="225"/>
      <c r="D1405" s="225"/>
      <c r="E1405" s="225"/>
      <c r="F1405" s="225"/>
      <c r="G1405" s="225"/>
      <c r="H1405" s="225"/>
      <c r="I1405" s="225"/>
      <c r="J1405" s="225"/>
      <c r="K1405" s="225"/>
      <c r="L1405" s="225"/>
      <c r="M1405" s="225"/>
      <c r="N1405" s="225"/>
      <c r="O1405" s="225"/>
      <c r="P1405" s="225"/>
      <c r="Q1405" s="225"/>
      <c r="R1405" s="225"/>
      <c r="S1405" s="225"/>
      <c r="T1405" s="225"/>
      <c r="U1405" s="225"/>
      <c r="V1405" s="23"/>
    </row>
    <row r="1406" spans="1:32" s="16" customFormat="1" ht="15" customHeight="1" x14ac:dyDescent="0.2">
      <c r="A1406" s="567" t="s">
        <v>125</v>
      </c>
      <c r="B1406" s="602" t="s">
        <v>443</v>
      </c>
      <c r="C1406" s="603"/>
      <c r="D1406" s="603"/>
      <c r="E1406" s="604"/>
      <c r="F1406" s="605" t="s">
        <v>444</v>
      </c>
      <c r="G1406" s="605"/>
      <c r="H1406" s="605"/>
      <c r="I1406" s="605"/>
      <c r="J1406" s="605"/>
      <c r="K1406" s="605"/>
      <c r="L1406" s="605" t="s">
        <v>445</v>
      </c>
      <c r="M1406" s="605"/>
      <c r="N1406" s="605"/>
      <c r="O1406" s="605"/>
      <c r="P1406" s="605"/>
      <c r="Q1406" s="605"/>
      <c r="R1406" s="600" t="s">
        <v>446</v>
      </c>
      <c r="S1406" s="600"/>
      <c r="T1406" s="600"/>
      <c r="U1406" s="600"/>
      <c r="V1406" s="23"/>
    </row>
    <row r="1407" spans="1:32" s="16" customFormat="1" ht="15" customHeight="1" x14ac:dyDescent="0.2">
      <c r="A1407" s="568"/>
      <c r="B1407" s="616">
        <f>B1389</f>
        <v>2017</v>
      </c>
      <c r="C1407" s="617"/>
      <c r="D1407" s="617"/>
      <c r="E1407" s="618"/>
      <c r="F1407" s="600" t="s">
        <v>447</v>
      </c>
      <c r="G1407" s="600"/>
      <c r="H1407" s="600"/>
      <c r="I1407" s="599" t="s">
        <v>448</v>
      </c>
      <c r="J1407" s="599"/>
      <c r="K1407" s="599"/>
      <c r="L1407" s="600" t="s">
        <v>447</v>
      </c>
      <c r="M1407" s="600"/>
      <c r="N1407" s="600"/>
      <c r="O1407" s="601" t="s">
        <v>448</v>
      </c>
      <c r="P1407" s="601"/>
      <c r="Q1407" s="601"/>
      <c r="R1407" s="713">
        <f>R1389</f>
        <v>2018</v>
      </c>
      <c r="S1407" s="714"/>
      <c r="T1407" s="714"/>
      <c r="U1407" s="715"/>
      <c r="V1407" s="487"/>
      <c r="W1407" s="480"/>
      <c r="X1407" s="480"/>
      <c r="Y1407" s="471" t="s">
        <v>449</v>
      </c>
      <c r="Z1407" s="480"/>
      <c r="AA1407" s="480"/>
      <c r="AB1407" s="480"/>
      <c r="AC1407" s="488" t="s">
        <v>438</v>
      </c>
      <c r="AD1407" s="489"/>
      <c r="AE1407" s="489"/>
      <c r="AF1407" s="489"/>
    </row>
    <row r="1408" spans="1:32" s="16" customFormat="1" ht="46.5" customHeight="1" x14ac:dyDescent="0.2">
      <c r="A1408" s="200" t="str">
        <f>C1398</f>
        <v>Instalasi Air Minum Bersih</v>
      </c>
      <c r="B1408" s="580">
        <f>'[1]4.NERACA'!D118</f>
        <v>487990500</v>
      </c>
      <c r="C1408" s="581"/>
      <c r="D1408" s="581"/>
      <c r="E1408" s="582"/>
      <c r="F1408" s="716">
        <f>'[1]4.NERACA'!E118</f>
        <v>0</v>
      </c>
      <c r="G1408" s="717"/>
      <c r="H1408" s="718"/>
      <c r="I1408" s="719">
        <f>'[1]4.NERACA'!F118</f>
        <v>0</v>
      </c>
      <c r="J1408" s="720"/>
      <c r="K1408" s="721"/>
      <c r="L1408" s="716">
        <f>'[1]4.NERACA'!G118</f>
        <v>0</v>
      </c>
      <c r="M1408" s="717"/>
      <c r="N1408" s="718"/>
      <c r="O1408" s="580">
        <f>'[1]4.NERACA'!H118</f>
        <v>0</v>
      </c>
      <c r="P1408" s="581"/>
      <c r="Q1408" s="582"/>
      <c r="R1408" s="580">
        <f>B1408+F1408-I1408+L1408-O1408</f>
        <v>487990500</v>
      </c>
      <c r="S1408" s="581"/>
      <c r="T1408" s="581"/>
      <c r="U1408" s="582"/>
      <c r="V1408" s="479"/>
      <c r="W1408" s="480"/>
      <c r="X1408" s="480"/>
      <c r="Y1408" s="471">
        <f>(R1408-B1408)/B1408*100</f>
        <v>0</v>
      </c>
      <c r="Z1408" s="480"/>
      <c r="AA1408" s="480"/>
      <c r="AB1408" s="480"/>
      <c r="AC1408" s="471">
        <f>R1408-B1408</f>
        <v>0</v>
      </c>
      <c r="AD1408" s="472"/>
      <c r="AE1408" s="472"/>
      <c r="AF1408" s="472"/>
    </row>
    <row r="1409" spans="1:32" s="16" customFormat="1" x14ac:dyDescent="0.2">
      <c r="A1409" s="11"/>
      <c r="B1409" s="669" t="s">
        <v>461</v>
      </c>
      <c r="C1409" s="669"/>
      <c r="D1409" s="669"/>
      <c r="E1409" s="669"/>
      <c r="F1409" s="669"/>
      <c r="G1409" s="669"/>
      <c r="H1409" s="669"/>
      <c r="I1409" s="669"/>
      <c r="J1409" s="669"/>
      <c r="K1409" s="669"/>
      <c r="L1409" s="669"/>
      <c r="M1409" s="669"/>
      <c r="N1409" s="669"/>
      <c r="O1409" s="669"/>
      <c r="P1409" s="669"/>
      <c r="Q1409" s="669"/>
      <c r="R1409" s="669"/>
      <c r="S1409" s="669"/>
      <c r="T1409" s="669"/>
      <c r="U1409" s="669"/>
      <c r="V1409" s="23"/>
    </row>
    <row r="1410" spans="1:32" s="16" customFormat="1" ht="15" customHeight="1" x14ac:dyDescent="0.2">
      <c r="A1410" s="11"/>
      <c r="B1410" s="125"/>
      <c r="C1410" s="408" t="s">
        <v>462</v>
      </c>
      <c r="D1410" s="408"/>
      <c r="E1410" s="408"/>
      <c r="F1410" s="408"/>
      <c r="G1410" s="408"/>
      <c r="H1410" s="408"/>
      <c r="I1410" s="408"/>
      <c r="J1410" s="408"/>
      <c r="K1410" s="408"/>
      <c r="L1410" s="408"/>
      <c r="M1410" s="408"/>
      <c r="N1410" s="408"/>
      <c r="O1410" s="408"/>
      <c r="P1410" s="408"/>
      <c r="Q1410" s="408"/>
      <c r="R1410" s="408"/>
      <c r="S1410" s="408"/>
      <c r="T1410" s="408"/>
      <c r="U1410" s="408"/>
      <c r="V1410" s="23"/>
    </row>
    <row r="1411" spans="1:32" s="16" customFormat="1" ht="92.25" customHeight="1" x14ac:dyDescent="0.2">
      <c r="A1411" s="11"/>
      <c r="B1411" s="125"/>
      <c r="C1411" s="408" t="str">
        <f>"Mutasi Debet sebesar Rp. "&amp;FIXED(F1408+L1408)&amp;" adalah hasil pengadaan barang tahun "&amp;'[1]2.ISIAN DATA SKPD'!D11&amp;" dari reklas belanja modal gedung dan bangunan pengadaan bangunan gedung tempat kerja lainnya ke instalasi air minum bersih (jaringan air panas dan halaman taman kungkum air hangat Kalianget dan penambahan dari belanja barjas (belanja pihak ketiga)"</f>
        <v>Mutasi Debet sebesar Rp. 0,00 adalah hasil pengadaan barang tahun 2018 dari reklas belanja modal gedung dan bangunan pengadaan bangunan gedung tempat kerja lainnya ke instalasi air minum bersih (jaringan air panas dan halaman taman kungkum air hangat Kalianget dan penambahan dari belanja barjas (belanja pihak ketiga)</v>
      </c>
      <c r="D1411" s="408"/>
      <c r="E1411" s="408"/>
      <c r="F1411" s="408"/>
      <c r="G1411" s="408"/>
      <c r="H1411" s="408"/>
      <c r="I1411" s="408"/>
      <c r="J1411" s="408"/>
      <c r="K1411" s="408"/>
      <c r="L1411" s="408"/>
      <c r="M1411" s="408"/>
      <c r="N1411" s="408"/>
      <c r="O1411" s="408"/>
      <c r="P1411" s="408"/>
      <c r="Q1411" s="408"/>
      <c r="R1411" s="408"/>
      <c r="S1411" s="408"/>
      <c r="T1411" s="408"/>
      <c r="U1411" s="408"/>
      <c r="V1411" s="23"/>
    </row>
    <row r="1412" spans="1:32" s="16" customFormat="1" ht="15" customHeight="1" x14ac:dyDescent="0.2">
      <c r="A1412" s="11"/>
      <c r="B1412" s="125"/>
      <c r="C1412" s="408" t="s">
        <v>463</v>
      </c>
      <c r="D1412" s="408"/>
      <c r="E1412" s="408"/>
      <c r="F1412" s="408"/>
      <c r="G1412" s="408"/>
      <c r="H1412" s="408"/>
      <c r="I1412" s="408"/>
      <c r="J1412" s="408"/>
      <c r="K1412" s="408"/>
      <c r="L1412" s="408"/>
      <c r="M1412" s="408"/>
      <c r="N1412" s="408"/>
      <c r="O1412" s="408"/>
      <c r="P1412" s="408"/>
      <c r="Q1412" s="408"/>
      <c r="R1412" s="408"/>
      <c r="S1412" s="408"/>
      <c r="T1412" s="408"/>
      <c r="U1412" s="408"/>
      <c r="V1412" s="23"/>
    </row>
    <row r="1413" spans="1:32" s="16" customFormat="1" ht="16.5" customHeight="1" x14ac:dyDescent="0.2">
      <c r="A1413" s="11"/>
      <c r="B1413" s="203"/>
      <c r="C1413" s="408" t="str">
        <f>"Mutasi Kredit Rp. "&amp;FIXED(I1408+O1408)&amp;" "</f>
        <v xml:space="preserve">Mutasi Kredit Rp. 0,00 </v>
      </c>
      <c r="D1413" s="408"/>
      <c r="E1413" s="408"/>
      <c r="F1413" s="408"/>
      <c r="G1413" s="408"/>
      <c r="H1413" s="408"/>
      <c r="I1413" s="408"/>
      <c r="J1413" s="408"/>
      <c r="K1413" s="408"/>
      <c r="L1413" s="408"/>
      <c r="M1413" s="408"/>
      <c r="N1413" s="408"/>
      <c r="O1413" s="408"/>
      <c r="P1413" s="408"/>
      <c r="Q1413" s="408"/>
      <c r="R1413" s="408"/>
      <c r="S1413" s="408"/>
      <c r="T1413" s="408"/>
      <c r="U1413" s="408"/>
      <c r="V1413" s="23"/>
    </row>
    <row r="1414" spans="1:32" s="16" customFormat="1" ht="15" customHeight="1" x14ac:dyDescent="0.2">
      <c r="A1414" s="11"/>
      <c r="B1414" s="103"/>
      <c r="C1414" s="103"/>
      <c r="D1414" s="103"/>
      <c r="E1414" s="103"/>
      <c r="F1414" s="103"/>
      <c r="G1414" s="103"/>
      <c r="H1414" s="103"/>
      <c r="I1414" s="103"/>
      <c r="J1414" s="103"/>
      <c r="K1414" s="103"/>
      <c r="L1414" s="103"/>
      <c r="M1414" s="103"/>
      <c r="N1414" s="133"/>
      <c r="O1414" s="133"/>
      <c r="P1414" s="133"/>
      <c r="Q1414" s="133"/>
      <c r="R1414" s="133"/>
      <c r="S1414" s="133"/>
      <c r="T1414" s="133"/>
      <c r="U1414" s="133"/>
      <c r="V1414" s="23"/>
    </row>
    <row r="1415" spans="1:32" s="16" customFormat="1" ht="15" customHeight="1" x14ac:dyDescent="0.2">
      <c r="A1415" s="11"/>
      <c r="B1415" s="202" t="s">
        <v>472</v>
      </c>
      <c r="C1415" s="402" t="str">
        <f>'[1]4.NERACA'!C119</f>
        <v>Instalasi Air Kotor</v>
      </c>
      <c r="D1415" s="402"/>
      <c r="E1415" s="402"/>
      <c r="F1415" s="402"/>
      <c r="G1415" s="402"/>
      <c r="H1415" s="402"/>
      <c r="I1415" s="402"/>
      <c r="J1415" s="402"/>
      <c r="K1415" s="402"/>
      <c r="L1415" s="402"/>
      <c r="M1415" s="402"/>
      <c r="N1415" s="402"/>
      <c r="O1415" s="402"/>
      <c r="P1415" s="402"/>
      <c r="Q1415" s="402"/>
      <c r="R1415" s="402"/>
      <c r="S1415" s="402"/>
      <c r="T1415" s="402"/>
      <c r="U1415" s="402"/>
      <c r="V1415" s="23"/>
    </row>
    <row r="1416" spans="1:32" s="16" customFormat="1" ht="17.25" customHeight="1" x14ac:dyDescent="0.2">
      <c r="A1416" s="11"/>
      <c r="C1416" s="407" t="str">
        <f>"Nilai aset tetap berupa "&amp;C1415&amp;"  Instalasi Air Kotor 0"</f>
        <v>Nilai aset tetap berupa Instalasi Air Kotor  Instalasi Air Kotor 0</v>
      </c>
      <c r="D1416" s="407"/>
      <c r="E1416" s="407"/>
      <c r="F1416" s="407"/>
      <c r="G1416" s="407"/>
      <c r="H1416" s="407"/>
      <c r="I1416" s="407"/>
      <c r="J1416" s="407"/>
      <c r="K1416" s="407"/>
      <c r="L1416" s="407"/>
      <c r="M1416" s="407"/>
      <c r="N1416" s="407"/>
      <c r="O1416" s="407"/>
      <c r="P1416" s="407"/>
      <c r="Q1416" s="407"/>
      <c r="R1416" s="407"/>
      <c r="S1416" s="407"/>
      <c r="T1416" s="407"/>
      <c r="U1416" s="407"/>
      <c r="V1416" s="23"/>
    </row>
    <row r="1417" spans="1:32" s="16" customFormat="1" ht="19.5" customHeight="1" x14ac:dyDescent="0.2">
      <c r="A1417" s="11"/>
      <c r="B1417" s="29"/>
      <c r="C1417" s="407" t="str">
        <f>"Dengan mutasi  selama tahun "&amp;'[1]2.ISIAN DATA SKPD'!D11&amp;" sebagai berikut :"</f>
        <v>Dengan mutasi  selama tahun 2018 sebagai berikut :</v>
      </c>
      <c r="D1417" s="407"/>
      <c r="E1417" s="407"/>
      <c r="F1417" s="407"/>
      <c r="G1417" s="407"/>
      <c r="H1417" s="407"/>
      <c r="I1417" s="407"/>
      <c r="J1417" s="407"/>
      <c r="K1417" s="407"/>
      <c r="L1417" s="407"/>
      <c r="M1417" s="407"/>
      <c r="N1417" s="407"/>
      <c r="O1417" s="407"/>
      <c r="P1417" s="407"/>
      <c r="Q1417" s="407"/>
      <c r="R1417" s="407"/>
      <c r="S1417" s="407"/>
      <c r="T1417" s="407"/>
      <c r="U1417" s="407"/>
      <c r="V1417" s="23"/>
    </row>
    <row r="1418" spans="1:32" s="16" customFormat="1" ht="17.25" customHeight="1" x14ac:dyDescent="0.2">
      <c r="A1418" s="11"/>
      <c r="B1418" s="165"/>
      <c r="C1418" s="225"/>
      <c r="D1418" s="225"/>
      <c r="E1418" s="225"/>
      <c r="F1418" s="225"/>
      <c r="G1418" s="225"/>
      <c r="H1418" s="225"/>
      <c r="I1418" s="225"/>
      <c r="J1418" s="225"/>
      <c r="K1418" s="225"/>
      <c r="L1418" s="225"/>
      <c r="M1418" s="225"/>
      <c r="N1418" s="225"/>
      <c r="O1418" s="225"/>
      <c r="P1418" s="225"/>
      <c r="Q1418" s="225"/>
      <c r="R1418" s="225"/>
      <c r="S1418" s="225"/>
      <c r="T1418" s="225"/>
      <c r="U1418" s="225"/>
      <c r="V1418" s="23"/>
    </row>
    <row r="1419" spans="1:32" s="16" customFormat="1" ht="15" customHeight="1" x14ac:dyDescent="0.2">
      <c r="A1419" s="567" t="s">
        <v>125</v>
      </c>
      <c r="B1419" s="602" t="s">
        <v>443</v>
      </c>
      <c r="C1419" s="603"/>
      <c r="D1419" s="603"/>
      <c r="E1419" s="604"/>
      <c r="F1419" s="605" t="s">
        <v>444</v>
      </c>
      <c r="G1419" s="605"/>
      <c r="H1419" s="605"/>
      <c r="I1419" s="605"/>
      <c r="J1419" s="605"/>
      <c r="K1419" s="605"/>
      <c r="L1419" s="605" t="s">
        <v>445</v>
      </c>
      <c r="M1419" s="605"/>
      <c r="N1419" s="605"/>
      <c r="O1419" s="605"/>
      <c r="P1419" s="605"/>
      <c r="Q1419" s="605"/>
      <c r="R1419" s="600" t="s">
        <v>446</v>
      </c>
      <c r="S1419" s="600"/>
      <c r="T1419" s="600"/>
      <c r="U1419" s="600"/>
      <c r="V1419" s="23"/>
    </row>
    <row r="1420" spans="1:32" s="16" customFormat="1" ht="15" customHeight="1" x14ac:dyDescent="0.2">
      <c r="A1420" s="568"/>
      <c r="B1420" s="713">
        <f>B1407</f>
        <v>2017</v>
      </c>
      <c r="C1420" s="714"/>
      <c r="D1420" s="714"/>
      <c r="E1420" s="715"/>
      <c r="F1420" s="600" t="s">
        <v>447</v>
      </c>
      <c r="G1420" s="600"/>
      <c r="H1420" s="600"/>
      <c r="I1420" s="599" t="s">
        <v>448</v>
      </c>
      <c r="J1420" s="599"/>
      <c r="K1420" s="599"/>
      <c r="L1420" s="600" t="s">
        <v>447</v>
      </c>
      <c r="M1420" s="600"/>
      <c r="N1420" s="600"/>
      <c r="O1420" s="601" t="s">
        <v>448</v>
      </c>
      <c r="P1420" s="601"/>
      <c r="Q1420" s="601"/>
      <c r="R1420" s="713">
        <f>R1407</f>
        <v>2018</v>
      </c>
      <c r="S1420" s="714"/>
      <c r="T1420" s="714"/>
      <c r="U1420" s="715"/>
      <c r="V1420" s="487"/>
      <c r="W1420" s="480"/>
      <c r="X1420" s="480"/>
      <c r="Y1420" s="471" t="s">
        <v>449</v>
      </c>
      <c r="Z1420" s="480"/>
      <c r="AA1420" s="480"/>
      <c r="AB1420" s="480"/>
      <c r="AC1420" s="488" t="s">
        <v>438</v>
      </c>
      <c r="AD1420" s="489"/>
      <c r="AE1420" s="489"/>
      <c r="AF1420" s="489"/>
    </row>
    <row r="1421" spans="1:32" s="16" customFormat="1" ht="27.75" customHeight="1" x14ac:dyDescent="0.2">
      <c r="A1421" s="200" t="str">
        <f>C1415</f>
        <v>Instalasi Air Kotor</v>
      </c>
      <c r="B1421" s="707">
        <f>'[1]4.NERACA'!D119</f>
        <v>0</v>
      </c>
      <c r="C1421" s="708"/>
      <c r="D1421" s="708"/>
      <c r="E1421" s="709"/>
      <c r="F1421" s="707">
        <f>'[1]4.NERACA'!E119</f>
        <v>0</v>
      </c>
      <c r="G1421" s="708"/>
      <c r="H1421" s="709"/>
      <c r="I1421" s="710">
        <f>'[1]4.NERACA'!F119</f>
        <v>0</v>
      </c>
      <c r="J1421" s="711"/>
      <c r="K1421" s="712"/>
      <c r="L1421" s="707">
        <f>'[1]4.NERACA'!G119</f>
        <v>0</v>
      </c>
      <c r="M1421" s="708"/>
      <c r="N1421" s="709"/>
      <c r="O1421" s="707">
        <f>'[1]4.NERACA'!H119</f>
        <v>0</v>
      </c>
      <c r="P1421" s="708"/>
      <c r="Q1421" s="709"/>
      <c r="R1421" s="707">
        <f>B1421+F1421-I1421+L1421-O1421</f>
        <v>0</v>
      </c>
      <c r="S1421" s="708"/>
      <c r="T1421" s="708"/>
      <c r="U1421" s="709"/>
      <c r="V1421" s="479"/>
      <c r="W1421" s="480"/>
      <c r="X1421" s="480"/>
      <c r="Y1421" s="471">
        <v>0</v>
      </c>
      <c r="Z1421" s="480"/>
      <c r="AA1421" s="480"/>
      <c r="AB1421" s="480"/>
      <c r="AC1421" s="471">
        <f>R1421-B1421</f>
        <v>0</v>
      </c>
      <c r="AD1421" s="472"/>
      <c r="AE1421" s="472"/>
      <c r="AF1421" s="472"/>
    </row>
    <row r="1422" spans="1:32" s="16" customFormat="1" ht="15" customHeight="1" x14ac:dyDescent="0.2">
      <c r="A1422" s="11"/>
      <c r="B1422" s="669" t="s">
        <v>461</v>
      </c>
      <c r="C1422" s="669"/>
      <c r="D1422" s="669"/>
      <c r="E1422" s="669"/>
      <c r="F1422" s="669"/>
      <c r="G1422" s="669"/>
      <c r="H1422" s="669"/>
      <c r="I1422" s="669"/>
      <c r="J1422" s="669"/>
      <c r="K1422" s="669"/>
      <c r="L1422" s="669"/>
      <c r="M1422" s="669"/>
      <c r="N1422" s="669"/>
      <c r="O1422" s="669"/>
      <c r="P1422" s="669"/>
      <c r="Q1422" s="669"/>
      <c r="R1422" s="669"/>
      <c r="S1422" s="669"/>
      <c r="T1422" s="669"/>
      <c r="U1422" s="669"/>
      <c r="V1422" s="23"/>
    </row>
    <row r="1423" spans="1:32" s="16" customFormat="1" ht="15" customHeight="1" x14ac:dyDescent="0.2">
      <c r="A1423" s="11"/>
      <c r="B1423" s="125"/>
      <c r="C1423" s="408" t="s">
        <v>462</v>
      </c>
      <c r="D1423" s="408"/>
      <c r="E1423" s="408"/>
      <c r="F1423" s="408"/>
      <c r="G1423" s="408"/>
      <c r="H1423" s="408"/>
      <c r="I1423" s="408"/>
      <c r="J1423" s="408"/>
      <c r="K1423" s="408"/>
      <c r="L1423" s="408"/>
      <c r="M1423" s="408"/>
      <c r="N1423" s="408"/>
      <c r="O1423" s="408"/>
      <c r="P1423" s="408"/>
      <c r="Q1423" s="408"/>
      <c r="R1423" s="408"/>
      <c r="S1423" s="408"/>
      <c r="T1423" s="408"/>
      <c r="U1423" s="408"/>
      <c r="V1423" s="23"/>
    </row>
    <row r="1424" spans="1:32" s="16" customFormat="1" ht="19.5" customHeight="1" x14ac:dyDescent="0.2">
      <c r="A1424" s="11"/>
      <c r="B1424" s="125"/>
      <c r="C1424" s="408" t="str">
        <f>"Mutasi Debet sebesar Rp. "&amp;FIXED(F1421+L1421)&amp;"."</f>
        <v>Mutasi Debet sebesar Rp. 0,00.</v>
      </c>
      <c r="D1424" s="408"/>
      <c r="E1424" s="408"/>
      <c r="F1424" s="408"/>
      <c r="G1424" s="408"/>
      <c r="H1424" s="408"/>
      <c r="I1424" s="408"/>
      <c r="J1424" s="408"/>
      <c r="K1424" s="408"/>
      <c r="L1424" s="408"/>
      <c r="M1424" s="408"/>
      <c r="N1424" s="408"/>
      <c r="O1424" s="408"/>
      <c r="P1424" s="408"/>
      <c r="Q1424" s="408"/>
      <c r="R1424" s="408"/>
      <c r="S1424" s="408"/>
      <c r="T1424" s="408"/>
      <c r="U1424" s="408"/>
      <c r="V1424" s="23"/>
    </row>
    <row r="1425" spans="1:22" s="16" customFormat="1" ht="22.5" customHeight="1" x14ac:dyDescent="0.2">
      <c r="A1425" s="11"/>
      <c r="B1425" s="125"/>
      <c r="C1425" s="408" t="s">
        <v>463</v>
      </c>
      <c r="D1425" s="408"/>
      <c r="E1425" s="408"/>
      <c r="F1425" s="408"/>
      <c r="G1425" s="408"/>
      <c r="H1425" s="408"/>
      <c r="I1425" s="408"/>
      <c r="J1425" s="408"/>
      <c r="K1425" s="408"/>
      <c r="L1425" s="408"/>
      <c r="M1425" s="408"/>
      <c r="N1425" s="408"/>
      <c r="O1425" s="408"/>
      <c r="P1425" s="408"/>
      <c r="Q1425" s="408"/>
      <c r="R1425" s="408"/>
      <c r="S1425" s="408"/>
      <c r="T1425" s="408"/>
      <c r="U1425" s="408"/>
      <c r="V1425" s="23"/>
    </row>
    <row r="1426" spans="1:22" s="16" customFormat="1" ht="18.75" customHeight="1" x14ac:dyDescent="0.2">
      <c r="A1426" s="11"/>
      <c r="B1426" s="203"/>
      <c r="C1426" s="408" t="str">
        <f>"Mutasi Kredit Rp. "&amp;FIXED(I1421+O1421)&amp;""</f>
        <v>Mutasi Kredit Rp. 0,00</v>
      </c>
      <c r="D1426" s="408"/>
      <c r="E1426" s="408"/>
      <c r="F1426" s="408"/>
      <c r="G1426" s="408"/>
      <c r="H1426" s="408"/>
      <c r="I1426" s="408"/>
      <c r="J1426" s="408"/>
      <c r="K1426" s="408"/>
      <c r="L1426" s="408"/>
      <c r="M1426" s="408"/>
      <c r="N1426" s="408"/>
      <c r="O1426" s="408"/>
      <c r="P1426" s="408"/>
      <c r="Q1426" s="408"/>
      <c r="R1426" s="408"/>
      <c r="S1426" s="408"/>
      <c r="T1426" s="408"/>
      <c r="U1426" s="408"/>
      <c r="V1426" s="23"/>
    </row>
    <row r="1427" spans="1:22" s="16" customFormat="1" ht="17.25" customHeight="1" x14ac:dyDescent="0.2">
      <c r="A1427" s="11"/>
      <c r="B1427" s="103"/>
      <c r="C1427" s="103"/>
      <c r="D1427" s="103"/>
      <c r="E1427" s="103"/>
      <c r="F1427" s="103"/>
      <c r="G1427" s="103"/>
      <c r="H1427" s="103"/>
      <c r="I1427" s="103"/>
      <c r="J1427" s="103"/>
      <c r="K1427" s="103"/>
      <c r="L1427" s="103"/>
      <c r="M1427" s="103"/>
      <c r="N1427" s="133"/>
      <c r="O1427" s="133"/>
      <c r="P1427" s="133"/>
      <c r="Q1427" s="133"/>
      <c r="R1427" s="133"/>
      <c r="S1427" s="133"/>
      <c r="T1427" s="133"/>
      <c r="U1427" s="133"/>
      <c r="V1427" s="23"/>
    </row>
    <row r="1428" spans="1:22" s="16" customFormat="1" ht="34.5" customHeight="1" x14ac:dyDescent="0.25">
      <c r="A1428" s="11"/>
      <c r="B1428" s="703" t="str">
        <f>"Rincian saldo Jalan, Jaringan dan Irigasi  per "&amp;'[1]2.ISIAN DATA SKPD'!D8&amp;" adalah sebagai berikut:"</f>
        <v>Rincian saldo Jalan, Jaringan dan Irigasi  per 31 Desember 2018 adalah sebagai berikut:</v>
      </c>
      <c r="C1428" s="703"/>
      <c r="D1428" s="703"/>
      <c r="E1428" s="703"/>
      <c r="F1428" s="703"/>
      <c r="G1428" s="703"/>
      <c r="H1428" s="703"/>
      <c r="I1428" s="703"/>
      <c r="J1428" s="703"/>
      <c r="K1428" s="703"/>
      <c r="L1428" s="703"/>
      <c r="M1428" s="703"/>
      <c r="N1428" s="703"/>
      <c r="O1428" s="703"/>
      <c r="P1428" s="703"/>
      <c r="Q1428" s="703"/>
      <c r="R1428" s="703"/>
      <c r="S1428" s="703"/>
      <c r="T1428" s="703"/>
      <c r="U1428" s="703"/>
      <c r="V1428" s="23"/>
    </row>
    <row r="1429" spans="1:22" s="16" customFormat="1" ht="24.75" customHeight="1" x14ac:dyDescent="0.2">
      <c r="A1429" s="11"/>
      <c r="B1429" s="704" t="s">
        <v>209</v>
      </c>
      <c r="C1429" s="705"/>
      <c r="D1429" s="704" t="s">
        <v>329</v>
      </c>
      <c r="E1429" s="706"/>
      <c r="F1429" s="706"/>
      <c r="G1429" s="706"/>
      <c r="H1429" s="706"/>
      <c r="I1429" s="706"/>
      <c r="J1429" s="706"/>
      <c r="K1429" s="706"/>
      <c r="L1429" s="706"/>
      <c r="M1429" s="706"/>
      <c r="N1429" s="706"/>
      <c r="O1429" s="706"/>
      <c r="P1429" s="705"/>
      <c r="Q1429" s="704" t="s">
        <v>455</v>
      </c>
      <c r="R1429" s="706"/>
      <c r="S1429" s="706"/>
      <c r="T1429" s="706"/>
      <c r="U1429" s="705"/>
      <c r="V1429" s="23"/>
    </row>
    <row r="1430" spans="1:22" s="16" customFormat="1" ht="15" customHeight="1" x14ac:dyDescent="0.2">
      <c r="A1430" s="11"/>
      <c r="B1430" s="695">
        <v>1</v>
      </c>
      <c r="C1430" s="696"/>
      <c r="D1430" s="697" t="str">
        <f>'[1]4.NERACA'!C110</f>
        <v>Jalan</v>
      </c>
      <c r="E1430" s="698"/>
      <c r="F1430" s="698"/>
      <c r="G1430" s="698"/>
      <c r="H1430" s="698"/>
      <c r="I1430" s="698"/>
      <c r="J1430" s="698"/>
      <c r="K1430" s="698"/>
      <c r="L1430" s="698"/>
      <c r="M1430" s="698"/>
      <c r="N1430" s="698"/>
      <c r="O1430" s="698"/>
      <c r="P1430" s="699"/>
      <c r="Q1430" s="700">
        <f>'[1]4.NERACA'!I110</f>
        <v>1536268060</v>
      </c>
      <c r="R1430" s="701"/>
      <c r="S1430" s="701"/>
      <c r="T1430" s="701"/>
      <c r="U1430" s="702"/>
      <c r="V1430" s="23"/>
    </row>
    <row r="1431" spans="1:22" s="16" customFormat="1" ht="15" customHeight="1" x14ac:dyDescent="0.2">
      <c r="A1431" s="11"/>
      <c r="B1431" s="695">
        <v>2</v>
      </c>
      <c r="C1431" s="696"/>
      <c r="D1431" s="697" t="str">
        <f>'[1]4.NERACA'!C111</f>
        <v>Jembatan</v>
      </c>
      <c r="E1431" s="698"/>
      <c r="F1431" s="698"/>
      <c r="G1431" s="698"/>
      <c r="H1431" s="698"/>
      <c r="I1431" s="698"/>
      <c r="J1431" s="698"/>
      <c r="K1431" s="698"/>
      <c r="L1431" s="698"/>
      <c r="M1431" s="698"/>
      <c r="N1431" s="698"/>
      <c r="O1431" s="698"/>
      <c r="P1431" s="699"/>
      <c r="Q1431" s="700">
        <f>'[1]4.NERACA'!I111</f>
        <v>0</v>
      </c>
      <c r="R1431" s="701"/>
      <c r="S1431" s="701"/>
      <c r="T1431" s="701"/>
      <c r="U1431" s="702"/>
      <c r="V1431" s="23"/>
    </row>
    <row r="1432" spans="1:22" s="16" customFormat="1" ht="15.75" customHeight="1" x14ac:dyDescent="0.2">
      <c r="A1432" s="11"/>
      <c r="B1432" s="695">
        <v>3</v>
      </c>
      <c r="C1432" s="696"/>
      <c r="D1432" s="697" t="str">
        <f>'[1]4.NERACA'!C112</f>
        <v>Bangunan Air Irigasi</v>
      </c>
      <c r="E1432" s="698"/>
      <c r="F1432" s="698"/>
      <c r="G1432" s="698"/>
      <c r="H1432" s="698"/>
      <c r="I1432" s="698"/>
      <c r="J1432" s="698"/>
      <c r="K1432" s="698"/>
      <c r="L1432" s="698"/>
      <c r="M1432" s="698"/>
      <c r="N1432" s="698"/>
      <c r="O1432" s="698"/>
      <c r="P1432" s="699"/>
      <c r="Q1432" s="700">
        <f>'[1]4.NERACA'!I112</f>
        <v>122332953</v>
      </c>
      <c r="R1432" s="701"/>
      <c r="S1432" s="701"/>
      <c r="T1432" s="701"/>
      <c r="U1432" s="702"/>
      <c r="V1432" s="23"/>
    </row>
    <row r="1433" spans="1:22" s="16" customFormat="1" ht="30.75" customHeight="1" x14ac:dyDescent="0.2">
      <c r="A1433" s="11"/>
      <c r="B1433" s="695">
        <v>4</v>
      </c>
      <c r="C1433" s="696"/>
      <c r="D1433" s="697" t="str">
        <f>'[1]4.NERACA'!C113</f>
        <v>Bangunan Pengaman Sungai dan Penanggulangan Bencana Alam</v>
      </c>
      <c r="E1433" s="698"/>
      <c r="F1433" s="698"/>
      <c r="G1433" s="698"/>
      <c r="H1433" s="698"/>
      <c r="I1433" s="698"/>
      <c r="J1433" s="698"/>
      <c r="K1433" s="698"/>
      <c r="L1433" s="698"/>
      <c r="M1433" s="698"/>
      <c r="N1433" s="698"/>
      <c r="O1433" s="698"/>
      <c r="P1433" s="699"/>
      <c r="Q1433" s="700">
        <f>'[1]4.NERACA'!I113</f>
        <v>0</v>
      </c>
      <c r="R1433" s="701"/>
      <c r="S1433" s="701"/>
      <c r="T1433" s="701"/>
      <c r="U1433" s="702"/>
      <c r="V1433" s="23"/>
    </row>
    <row r="1434" spans="1:22" s="16" customFormat="1" ht="15" customHeight="1" x14ac:dyDescent="0.2">
      <c r="A1434" s="11"/>
      <c r="B1434" s="695">
        <v>5</v>
      </c>
      <c r="C1434" s="696"/>
      <c r="D1434" s="697" t="str">
        <f>'[1]4.NERACA'!C114</f>
        <v>Bangunan Pengembangan Sumber Air dan Air Tanah</v>
      </c>
      <c r="E1434" s="698"/>
      <c r="F1434" s="698"/>
      <c r="G1434" s="698"/>
      <c r="H1434" s="698"/>
      <c r="I1434" s="698"/>
      <c r="J1434" s="698"/>
      <c r="K1434" s="698"/>
      <c r="L1434" s="698"/>
      <c r="M1434" s="698"/>
      <c r="N1434" s="698"/>
      <c r="O1434" s="698"/>
      <c r="P1434" s="699"/>
      <c r="Q1434" s="700">
        <f>'[1]4.NERACA'!I114</f>
        <v>93750000</v>
      </c>
      <c r="R1434" s="701"/>
      <c r="S1434" s="701"/>
      <c r="T1434" s="701"/>
      <c r="U1434" s="702"/>
      <c r="V1434" s="23"/>
    </row>
    <row r="1435" spans="1:22" s="16" customFormat="1" ht="15" customHeight="1" x14ac:dyDescent="0.2">
      <c r="A1435" s="11"/>
      <c r="B1435" s="695">
        <v>6</v>
      </c>
      <c r="C1435" s="696"/>
      <c r="D1435" s="697" t="str">
        <f>'[1]4.NERACA'!C115</f>
        <v>Bangunan Air Bersih/Baku</v>
      </c>
      <c r="E1435" s="698"/>
      <c r="F1435" s="698"/>
      <c r="G1435" s="698"/>
      <c r="H1435" s="698"/>
      <c r="I1435" s="698"/>
      <c r="J1435" s="698"/>
      <c r="K1435" s="698"/>
      <c r="L1435" s="698"/>
      <c r="M1435" s="698"/>
      <c r="N1435" s="698"/>
      <c r="O1435" s="698"/>
      <c r="P1435" s="699"/>
      <c r="Q1435" s="700">
        <f>'[1]4.NERACA'!I115</f>
        <v>467853678</v>
      </c>
      <c r="R1435" s="701"/>
      <c r="S1435" s="701"/>
      <c r="T1435" s="701"/>
      <c r="U1435" s="702"/>
      <c r="V1435" s="23"/>
    </row>
    <row r="1436" spans="1:22" s="16" customFormat="1" ht="15" customHeight="1" x14ac:dyDescent="0.2">
      <c r="A1436" s="11"/>
      <c r="B1436" s="695">
        <v>7</v>
      </c>
      <c r="C1436" s="696"/>
      <c r="D1436" s="697" t="str">
        <f>'[1]4.NERACA'!C116</f>
        <v>Bangunan Air Kotor</v>
      </c>
      <c r="E1436" s="698"/>
      <c r="F1436" s="698"/>
      <c r="G1436" s="698"/>
      <c r="H1436" s="698"/>
      <c r="I1436" s="698"/>
      <c r="J1436" s="698"/>
      <c r="K1436" s="698"/>
      <c r="L1436" s="698"/>
      <c r="M1436" s="698"/>
      <c r="N1436" s="698"/>
      <c r="O1436" s="698"/>
      <c r="P1436" s="699"/>
      <c r="Q1436" s="700">
        <f>'[1]4.NERACA'!I116</f>
        <v>0</v>
      </c>
      <c r="R1436" s="701"/>
      <c r="S1436" s="701"/>
      <c r="T1436" s="701"/>
      <c r="U1436" s="702"/>
      <c r="V1436" s="23"/>
    </row>
    <row r="1437" spans="1:22" s="16" customFormat="1" ht="15" customHeight="1" x14ac:dyDescent="0.2">
      <c r="A1437" s="11"/>
      <c r="B1437" s="695">
        <v>8</v>
      </c>
      <c r="C1437" s="696"/>
      <c r="D1437" s="697" t="str">
        <f>'[1]4.NERACA'!C117</f>
        <v>Bangunan Air</v>
      </c>
      <c r="E1437" s="698"/>
      <c r="F1437" s="698"/>
      <c r="G1437" s="698"/>
      <c r="H1437" s="698"/>
      <c r="I1437" s="698"/>
      <c r="J1437" s="698"/>
      <c r="K1437" s="698"/>
      <c r="L1437" s="698"/>
      <c r="M1437" s="698"/>
      <c r="N1437" s="698"/>
      <c r="O1437" s="698"/>
      <c r="P1437" s="699"/>
      <c r="Q1437" s="700">
        <f>'[1]4.NERACA'!I117</f>
        <v>0</v>
      </c>
      <c r="R1437" s="701"/>
      <c r="S1437" s="701"/>
      <c r="T1437" s="701"/>
      <c r="U1437" s="702"/>
      <c r="V1437" s="23"/>
    </row>
    <row r="1438" spans="1:22" s="16" customFormat="1" ht="20.25" customHeight="1" x14ac:dyDescent="0.2">
      <c r="A1438" s="11"/>
      <c r="B1438" s="695">
        <v>9</v>
      </c>
      <c r="C1438" s="696"/>
      <c r="D1438" s="697" t="str">
        <f>'[1]4.NERACA'!C118</f>
        <v>Instalasi Air Minum Bersih</v>
      </c>
      <c r="E1438" s="698"/>
      <c r="F1438" s="698"/>
      <c r="G1438" s="698"/>
      <c r="H1438" s="698"/>
      <c r="I1438" s="698"/>
      <c r="J1438" s="698"/>
      <c r="K1438" s="698"/>
      <c r="L1438" s="698"/>
      <c r="M1438" s="698"/>
      <c r="N1438" s="698"/>
      <c r="O1438" s="698"/>
      <c r="P1438" s="699"/>
      <c r="Q1438" s="700">
        <f>'[1]4.NERACA'!I118</f>
        <v>487990500</v>
      </c>
      <c r="R1438" s="701"/>
      <c r="S1438" s="701"/>
      <c r="T1438" s="701"/>
      <c r="U1438" s="702"/>
      <c r="V1438" s="23"/>
    </row>
    <row r="1439" spans="1:22" s="16" customFormat="1" ht="20.25" customHeight="1" x14ac:dyDescent="0.2">
      <c r="A1439" s="11"/>
      <c r="B1439" s="695">
        <v>10</v>
      </c>
      <c r="C1439" s="696"/>
      <c r="D1439" s="697" t="str">
        <f>'[1]4.NERACA'!C119</f>
        <v>Instalasi Air Kotor</v>
      </c>
      <c r="E1439" s="698"/>
      <c r="F1439" s="698"/>
      <c r="G1439" s="698"/>
      <c r="H1439" s="698"/>
      <c r="I1439" s="698"/>
      <c r="J1439" s="698"/>
      <c r="K1439" s="698"/>
      <c r="L1439" s="698"/>
      <c r="M1439" s="698"/>
      <c r="N1439" s="698"/>
      <c r="O1439" s="698"/>
      <c r="P1439" s="699"/>
      <c r="Q1439" s="700">
        <f>'[1]4.NERACA'!I119</f>
        <v>0</v>
      </c>
      <c r="R1439" s="701"/>
      <c r="S1439" s="701"/>
      <c r="T1439" s="701"/>
      <c r="U1439" s="702"/>
      <c r="V1439" s="23"/>
    </row>
    <row r="1440" spans="1:22" s="16" customFormat="1" ht="15" customHeight="1" x14ac:dyDescent="0.2">
      <c r="A1440" s="11"/>
      <c r="B1440" s="634" t="s">
        <v>205</v>
      </c>
      <c r="C1440" s="635"/>
      <c r="D1440" s="635"/>
      <c r="E1440" s="635"/>
      <c r="F1440" s="635"/>
      <c r="G1440" s="635"/>
      <c r="H1440" s="635"/>
      <c r="I1440" s="635"/>
      <c r="J1440" s="635"/>
      <c r="K1440" s="635"/>
      <c r="L1440" s="635"/>
      <c r="M1440" s="635"/>
      <c r="N1440" s="635"/>
      <c r="O1440" s="635"/>
      <c r="P1440" s="636"/>
      <c r="Q1440" s="691">
        <f>SUM(Q1430:U1439)</f>
        <v>2708195191</v>
      </c>
      <c r="R1440" s="692"/>
      <c r="S1440" s="692"/>
      <c r="T1440" s="692"/>
      <c r="U1440" s="693"/>
      <c r="V1440" s="23"/>
    </row>
    <row r="1441" spans="1:32" s="16" customFormat="1" ht="15" customHeight="1" x14ac:dyDescent="0.2">
      <c r="A1441" s="11"/>
      <c r="B1441" s="103"/>
      <c r="C1441" s="103"/>
      <c r="D1441" s="103"/>
      <c r="E1441" s="103"/>
      <c r="F1441" s="103"/>
      <c r="G1441" s="103"/>
      <c r="H1441" s="103"/>
      <c r="I1441" s="103"/>
      <c r="J1441" s="103"/>
      <c r="K1441" s="103"/>
      <c r="L1441" s="103"/>
      <c r="M1441" s="103"/>
      <c r="N1441" s="133"/>
      <c r="O1441" s="133"/>
      <c r="P1441" s="133"/>
      <c r="Q1441" s="133"/>
      <c r="R1441" s="133"/>
      <c r="S1441" s="133"/>
      <c r="T1441" s="133"/>
      <c r="U1441" s="133"/>
      <c r="V1441" s="23"/>
    </row>
    <row r="1442" spans="1:32" s="16" customFormat="1" ht="20.25" customHeight="1" x14ac:dyDescent="0.2">
      <c r="A1442" s="694"/>
      <c r="B1442" s="224" t="s">
        <v>183</v>
      </c>
      <c r="C1442" s="629" t="str">
        <f>'[1]4.NERACA'!C121</f>
        <v>Aset Tetap Lainnya</v>
      </c>
      <c r="D1442" s="629"/>
      <c r="E1442" s="629"/>
      <c r="F1442" s="629"/>
      <c r="G1442" s="629"/>
      <c r="H1442" s="629"/>
      <c r="I1442" s="629"/>
      <c r="J1442" s="629"/>
      <c r="K1442" s="629"/>
      <c r="L1442" s="629"/>
      <c r="M1442" s="629"/>
      <c r="N1442" s="629"/>
      <c r="O1442" s="629"/>
      <c r="P1442" s="629"/>
      <c r="Q1442" s="629"/>
      <c r="R1442" s="629"/>
      <c r="S1442" s="629"/>
      <c r="T1442" s="629"/>
      <c r="U1442" s="629"/>
      <c r="V1442" s="23"/>
    </row>
    <row r="1443" spans="1:32" s="16" customFormat="1" ht="61.5" customHeight="1" x14ac:dyDescent="0.2">
      <c r="A1443" s="694"/>
      <c r="B1443" s="407" t="str">
        <f>"Saldo "&amp;C1442&amp;" per "&amp;'[1]2.ISIAN DATA SKPD'!D8&amp;" dan "&amp;'[1]2.ISIAN DATA SKPD'!D12&amp;" adalah masing-masing sebesar Rp. "&amp;R1448&amp;" dan Rp. "&amp;FIXED(B1448)&amp;" mengalami kenaikan/penurunan sebesar Rp. "&amp;FIXED(Y1448)&amp;" atau sebesar "&amp;FIXED(Y1448)&amp;"% dari tahun "&amp;'[1]2.ISIAN DATA SKPD'!D12&amp;"."</f>
        <v>Saldo Aset Tetap Lainnya per 31 Desember 2018 dan 2017 adalah masing-masing sebesar Rp. 596236988 dan Rp. 516.785.240,00 mengalami kenaikan/penurunan sebesar Rp. 15,37 atau sebesar 15,37% dari tahun 2017.</v>
      </c>
      <c r="C1443" s="407"/>
      <c r="D1443" s="407"/>
      <c r="E1443" s="407"/>
      <c r="F1443" s="407"/>
      <c r="G1443" s="407"/>
      <c r="H1443" s="407"/>
      <c r="I1443" s="407"/>
      <c r="J1443" s="407"/>
      <c r="K1443" s="407"/>
      <c r="L1443" s="407"/>
      <c r="M1443" s="407"/>
      <c r="N1443" s="407"/>
      <c r="O1443" s="407"/>
      <c r="P1443" s="407"/>
      <c r="Q1443" s="407"/>
      <c r="R1443" s="407"/>
      <c r="S1443" s="407"/>
      <c r="T1443" s="407"/>
      <c r="U1443" s="407"/>
      <c r="V1443" s="23"/>
    </row>
    <row r="1444" spans="1:32" s="16" customFormat="1" ht="35.25" customHeight="1" x14ac:dyDescent="0.2">
      <c r="A1444" s="21"/>
      <c r="B1444" s="407" t="str">
        <f>"Mutasi transaksi terhadap "&amp;C1442&amp;" pada tanggal pelaporan adalah sebagai berikut:"</f>
        <v>Mutasi transaksi terhadap Aset Tetap Lainnya pada tanggal pelaporan adalah sebagai berikut:</v>
      </c>
      <c r="C1444" s="407"/>
      <c r="D1444" s="407"/>
      <c r="E1444" s="407"/>
      <c r="F1444" s="407"/>
      <c r="G1444" s="407"/>
      <c r="H1444" s="407"/>
      <c r="I1444" s="407"/>
      <c r="J1444" s="407"/>
      <c r="K1444" s="407"/>
      <c r="L1444" s="407"/>
      <c r="M1444" s="407"/>
      <c r="N1444" s="407"/>
      <c r="O1444" s="407"/>
      <c r="P1444" s="407"/>
      <c r="Q1444" s="407"/>
      <c r="R1444" s="407"/>
      <c r="S1444" s="407"/>
      <c r="T1444" s="407"/>
      <c r="U1444" s="407"/>
      <c r="V1444" s="23"/>
    </row>
    <row r="1445" spans="1:32" s="16" customFormat="1" ht="15" customHeight="1" x14ac:dyDescent="0.2">
      <c r="A1445" s="21"/>
      <c r="B1445" s="225"/>
      <c r="C1445" s="225"/>
      <c r="D1445" s="225"/>
      <c r="E1445" s="225"/>
      <c r="F1445" s="225"/>
      <c r="G1445" s="225"/>
      <c r="H1445" s="225"/>
      <c r="I1445" s="225"/>
      <c r="J1445" s="225"/>
      <c r="K1445" s="225"/>
      <c r="L1445" s="225"/>
      <c r="M1445" s="225"/>
      <c r="N1445" s="225"/>
      <c r="O1445" s="225"/>
      <c r="P1445" s="225"/>
      <c r="Q1445" s="225"/>
      <c r="R1445" s="225"/>
      <c r="S1445" s="225"/>
      <c r="T1445" s="225"/>
      <c r="U1445" s="225"/>
      <c r="V1445" s="23"/>
    </row>
    <row r="1446" spans="1:32" s="16" customFormat="1" ht="18" customHeight="1" x14ac:dyDescent="0.2">
      <c r="A1446" s="567" t="s">
        <v>125</v>
      </c>
      <c r="B1446" s="569" t="s">
        <v>443</v>
      </c>
      <c r="C1446" s="570"/>
      <c r="D1446" s="570"/>
      <c r="E1446" s="571"/>
      <c r="F1446" s="572" t="s">
        <v>444</v>
      </c>
      <c r="G1446" s="572"/>
      <c r="H1446" s="572"/>
      <c r="I1446" s="572"/>
      <c r="J1446" s="572"/>
      <c r="K1446" s="572"/>
      <c r="L1446" s="572" t="s">
        <v>445</v>
      </c>
      <c r="M1446" s="572"/>
      <c r="N1446" s="572"/>
      <c r="O1446" s="572"/>
      <c r="P1446" s="572"/>
      <c r="Q1446" s="572"/>
      <c r="R1446" s="562" t="s">
        <v>446</v>
      </c>
      <c r="S1446" s="562"/>
      <c r="T1446" s="562"/>
      <c r="U1446" s="562"/>
      <c r="V1446" s="23"/>
    </row>
    <row r="1447" spans="1:32" s="16" customFormat="1" ht="15" customHeight="1" x14ac:dyDescent="0.2">
      <c r="A1447" s="568"/>
      <c r="B1447" s="564">
        <f>B1407</f>
        <v>2017</v>
      </c>
      <c r="C1447" s="565"/>
      <c r="D1447" s="565"/>
      <c r="E1447" s="566"/>
      <c r="F1447" s="562" t="s">
        <v>447</v>
      </c>
      <c r="G1447" s="562"/>
      <c r="H1447" s="562"/>
      <c r="I1447" s="573" t="s">
        <v>448</v>
      </c>
      <c r="J1447" s="573"/>
      <c r="K1447" s="573"/>
      <c r="L1447" s="562" t="s">
        <v>447</v>
      </c>
      <c r="M1447" s="562"/>
      <c r="N1447" s="562"/>
      <c r="O1447" s="563" t="s">
        <v>448</v>
      </c>
      <c r="P1447" s="563"/>
      <c r="Q1447" s="563"/>
      <c r="R1447" s="564">
        <f>R1407</f>
        <v>2018</v>
      </c>
      <c r="S1447" s="565"/>
      <c r="T1447" s="565"/>
      <c r="U1447" s="566"/>
      <c r="V1447" s="487"/>
      <c r="W1447" s="480"/>
      <c r="X1447" s="480"/>
      <c r="Y1447" s="471" t="s">
        <v>449</v>
      </c>
      <c r="Z1447" s="480"/>
      <c r="AA1447" s="480"/>
      <c r="AB1447" s="480"/>
      <c r="AC1447" s="488" t="s">
        <v>438</v>
      </c>
      <c r="AD1447" s="489"/>
      <c r="AE1447" s="489"/>
      <c r="AF1447" s="489"/>
    </row>
    <row r="1448" spans="1:32" s="16" customFormat="1" ht="27" customHeight="1" x14ac:dyDescent="0.2">
      <c r="A1448" s="200" t="str">
        <f>C1442</f>
        <v>Aset Tetap Lainnya</v>
      </c>
      <c r="B1448" s="650">
        <f>'[1]4.NERACA'!D121</f>
        <v>516785240</v>
      </c>
      <c r="C1448" s="651"/>
      <c r="D1448" s="651"/>
      <c r="E1448" s="652"/>
      <c r="F1448" s="689">
        <f>'[1]4.NERACA'!E121</f>
        <v>79451748</v>
      </c>
      <c r="G1448" s="689"/>
      <c r="H1448" s="689"/>
      <c r="I1448" s="690">
        <f>'[1]4.NERACA'!F121</f>
        <v>0</v>
      </c>
      <c r="J1448" s="690"/>
      <c r="K1448" s="690"/>
      <c r="L1448" s="689">
        <f>'[1]4.NERACA'!G121</f>
        <v>0</v>
      </c>
      <c r="M1448" s="689"/>
      <c r="N1448" s="689"/>
      <c r="O1448" s="689">
        <f>'[1]4.NERACA'!H121</f>
        <v>0</v>
      </c>
      <c r="P1448" s="689"/>
      <c r="Q1448" s="689"/>
      <c r="R1448" s="689">
        <f>B1448+F1448-I1448+L1448-O1448</f>
        <v>596236988</v>
      </c>
      <c r="S1448" s="689"/>
      <c r="T1448" s="689"/>
      <c r="U1448" s="689"/>
      <c r="V1448" s="479"/>
      <c r="W1448" s="480"/>
      <c r="X1448" s="480"/>
      <c r="Y1448" s="471">
        <f>(R1448-B1448)/B1448*100</f>
        <v>15.374229341379797</v>
      </c>
      <c r="Z1448" s="480"/>
      <c r="AA1448" s="480"/>
      <c r="AB1448" s="480"/>
      <c r="AC1448" s="471">
        <f>R1448-B1448</f>
        <v>79451748</v>
      </c>
      <c r="AD1448" s="472"/>
      <c r="AE1448" s="472"/>
      <c r="AF1448" s="472"/>
    </row>
    <row r="1449" spans="1:32" s="16" customFormat="1" ht="15" customHeight="1" x14ac:dyDescent="0.2">
      <c r="A1449" s="11"/>
      <c r="B1449" s="648" t="s">
        <v>450</v>
      </c>
      <c r="C1449" s="648"/>
      <c r="D1449" s="648"/>
      <c r="E1449" s="648"/>
      <c r="F1449" s="648"/>
      <c r="G1449" s="648"/>
      <c r="H1449" s="648"/>
      <c r="I1449" s="648"/>
      <c r="J1449" s="648"/>
      <c r="K1449" s="648"/>
      <c r="L1449" s="648"/>
      <c r="M1449" s="648"/>
      <c r="N1449" s="663"/>
      <c r="O1449" s="663"/>
      <c r="P1449" s="663"/>
      <c r="Q1449" s="663"/>
      <c r="R1449" s="663"/>
      <c r="S1449" s="663"/>
      <c r="T1449" s="663"/>
      <c r="U1449" s="663"/>
      <c r="V1449" s="23"/>
    </row>
    <row r="1450" spans="1:32" s="16" customFormat="1" ht="15" customHeight="1" x14ac:dyDescent="0.2">
      <c r="A1450" s="11"/>
      <c r="B1450" s="202" t="s">
        <v>160</v>
      </c>
      <c r="C1450" s="402" t="str">
        <f>'[1]4.NERACA'!C122</f>
        <v>Buku</v>
      </c>
      <c r="D1450" s="402"/>
      <c r="E1450" s="402"/>
      <c r="F1450" s="402"/>
      <c r="G1450" s="402"/>
      <c r="H1450" s="402"/>
      <c r="I1450" s="402"/>
      <c r="J1450" s="402"/>
      <c r="K1450" s="402"/>
      <c r="L1450" s="402"/>
      <c r="M1450" s="402"/>
      <c r="N1450" s="402"/>
      <c r="O1450" s="402"/>
      <c r="P1450" s="402"/>
      <c r="Q1450" s="402"/>
      <c r="R1450" s="402"/>
      <c r="S1450" s="402"/>
      <c r="T1450" s="402"/>
      <c r="U1450" s="402"/>
      <c r="V1450" s="23"/>
    </row>
    <row r="1451" spans="1:32" s="16" customFormat="1" ht="63" customHeight="1" x14ac:dyDescent="0.2">
      <c r="A1451" s="11"/>
      <c r="C1451" s="407" t="str">
        <f>"Nilai aset tetap berupa "&amp;C1450&amp;"  per "&amp;'[1]2.ISIAN DATA SKPD'!D8&amp;" dan  "&amp;'[1]2.ISIAN DATA SKPD'!D12&amp;" adalah sebesar Rp. "&amp;FIXED(R1456)&amp;" dan Rp. "&amp;FIXED(B1456)&amp;" tidak mengalami kenaikan/penurunan sebesar Rp. "&amp;FIXED(AC1456)&amp;" atau sebesar "&amp;FIXED(Y1456)&amp;"% dari tahun "&amp;'[1]2.ISIAN DATA SKPD'!D12&amp;"."</f>
        <v>Nilai aset tetap berupa Buku  per 31 Desember 2018 dan  2017 adalah sebesar Rp. 25.000.000,00 dan Rp. 25.000.000,00 tidak mengalami kenaikan/penurunan sebesar Rp. 0,00 atau sebesar 0,00% dari tahun 2017.</v>
      </c>
      <c r="D1451" s="407"/>
      <c r="E1451" s="407"/>
      <c r="F1451" s="407"/>
      <c r="G1451" s="407"/>
      <c r="H1451" s="407"/>
      <c r="I1451" s="407"/>
      <c r="J1451" s="407"/>
      <c r="K1451" s="407"/>
      <c r="L1451" s="407"/>
      <c r="M1451" s="407"/>
      <c r="N1451" s="407"/>
      <c r="O1451" s="407"/>
      <c r="P1451" s="407"/>
      <c r="Q1451" s="407"/>
      <c r="R1451" s="407"/>
      <c r="S1451" s="407"/>
      <c r="T1451" s="407"/>
      <c r="U1451" s="407"/>
      <c r="V1451" s="23"/>
    </row>
    <row r="1452" spans="1:32" s="16" customFormat="1" ht="18.75" customHeight="1" x14ac:dyDescent="0.2">
      <c r="A1452" s="11"/>
      <c r="B1452" s="77"/>
      <c r="C1452" s="407" t="str">
        <f>"Dengan mutasi  selama tahun "&amp;'[1]2.ISIAN DATA SKPD'!D11&amp;" sebagai berikut :"</f>
        <v>Dengan mutasi  selama tahun 2018 sebagai berikut :</v>
      </c>
      <c r="D1452" s="407"/>
      <c r="E1452" s="407"/>
      <c r="F1452" s="407"/>
      <c r="G1452" s="407"/>
      <c r="H1452" s="407"/>
      <c r="I1452" s="407"/>
      <c r="J1452" s="407"/>
      <c r="K1452" s="407"/>
      <c r="L1452" s="407"/>
      <c r="M1452" s="407"/>
      <c r="N1452" s="407"/>
      <c r="O1452" s="407"/>
      <c r="P1452" s="407"/>
      <c r="Q1452" s="407"/>
      <c r="R1452" s="407"/>
      <c r="S1452" s="407"/>
      <c r="T1452" s="407"/>
      <c r="U1452" s="407"/>
      <c r="V1452" s="23"/>
    </row>
    <row r="1453" spans="1:32" s="16" customFormat="1" ht="18.75" customHeight="1" x14ac:dyDescent="0.2">
      <c r="A1453" s="11"/>
      <c r="B1453" s="77"/>
      <c r="C1453" s="225"/>
      <c r="D1453" s="225"/>
      <c r="E1453" s="225"/>
      <c r="F1453" s="225"/>
      <c r="G1453" s="225"/>
      <c r="H1453" s="225"/>
      <c r="I1453" s="225"/>
      <c r="J1453" s="225"/>
      <c r="K1453" s="225"/>
      <c r="L1453" s="225"/>
      <c r="M1453" s="225"/>
      <c r="N1453" s="225"/>
      <c r="O1453" s="225"/>
      <c r="P1453" s="225"/>
      <c r="Q1453" s="225"/>
      <c r="R1453" s="225"/>
      <c r="S1453" s="225"/>
      <c r="T1453" s="225"/>
      <c r="U1453" s="225"/>
      <c r="V1453" s="23"/>
    </row>
    <row r="1454" spans="1:32" s="16" customFormat="1" ht="15" customHeight="1" x14ac:dyDescent="0.2">
      <c r="A1454" s="567" t="s">
        <v>125</v>
      </c>
      <c r="B1454" s="602" t="s">
        <v>443</v>
      </c>
      <c r="C1454" s="603"/>
      <c r="D1454" s="603"/>
      <c r="E1454" s="604"/>
      <c r="F1454" s="605" t="s">
        <v>444</v>
      </c>
      <c r="G1454" s="605"/>
      <c r="H1454" s="605"/>
      <c r="I1454" s="605"/>
      <c r="J1454" s="605"/>
      <c r="K1454" s="605"/>
      <c r="L1454" s="605" t="s">
        <v>445</v>
      </c>
      <c r="M1454" s="605"/>
      <c r="N1454" s="605"/>
      <c r="O1454" s="605"/>
      <c r="P1454" s="605"/>
      <c r="Q1454" s="605"/>
      <c r="R1454" s="600" t="s">
        <v>446</v>
      </c>
      <c r="S1454" s="600"/>
      <c r="T1454" s="600"/>
      <c r="U1454" s="600"/>
      <c r="V1454" s="23"/>
    </row>
    <row r="1455" spans="1:32" s="16" customFormat="1" ht="15" customHeight="1" x14ac:dyDescent="0.2">
      <c r="A1455" s="568"/>
      <c r="B1455" s="616">
        <f>B1407</f>
        <v>2017</v>
      </c>
      <c r="C1455" s="617"/>
      <c r="D1455" s="617"/>
      <c r="E1455" s="618"/>
      <c r="F1455" s="600" t="s">
        <v>447</v>
      </c>
      <c r="G1455" s="600"/>
      <c r="H1455" s="600"/>
      <c r="I1455" s="599" t="s">
        <v>448</v>
      </c>
      <c r="J1455" s="599"/>
      <c r="K1455" s="599"/>
      <c r="L1455" s="600" t="s">
        <v>447</v>
      </c>
      <c r="M1455" s="600"/>
      <c r="N1455" s="600"/>
      <c r="O1455" s="601" t="s">
        <v>448</v>
      </c>
      <c r="P1455" s="601"/>
      <c r="Q1455" s="601"/>
      <c r="R1455" s="564">
        <f>R1407</f>
        <v>2018</v>
      </c>
      <c r="S1455" s="565"/>
      <c r="T1455" s="565"/>
      <c r="U1455" s="566"/>
      <c r="V1455" s="487"/>
      <c r="W1455" s="480"/>
      <c r="X1455" s="480"/>
      <c r="Y1455" s="471" t="s">
        <v>449</v>
      </c>
      <c r="Z1455" s="480"/>
      <c r="AA1455" s="480"/>
      <c r="AB1455" s="480"/>
      <c r="AC1455" s="488" t="s">
        <v>438</v>
      </c>
      <c r="AD1455" s="489"/>
      <c r="AE1455" s="489"/>
      <c r="AF1455" s="489"/>
    </row>
    <row r="1456" spans="1:32" s="16" customFormat="1" ht="15" customHeight="1" x14ac:dyDescent="0.2">
      <c r="A1456" s="200" t="str">
        <f>C1450</f>
        <v>Buku</v>
      </c>
      <c r="B1456" s="606">
        <f>'[1]4.NERACA'!D122</f>
        <v>25000000</v>
      </c>
      <c r="C1456" s="607"/>
      <c r="D1456" s="607"/>
      <c r="E1456" s="608"/>
      <c r="F1456" s="606">
        <f>'[1]4.NERACA'!E122</f>
        <v>0</v>
      </c>
      <c r="G1456" s="607"/>
      <c r="H1456" s="608"/>
      <c r="I1456" s="686">
        <f>'[1]4.NERACA'!F122</f>
        <v>0</v>
      </c>
      <c r="J1456" s="687"/>
      <c r="K1456" s="688"/>
      <c r="L1456" s="606">
        <f>'[1]4.NERACA'!G122</f>
        <v>0</v>
      </c>
      <c r="M1456" s="607"/>
      <c r="N1456" s="608"/>
      <c r="O1456" s="606">
        <f>'[1]4.NERACA'!H122</f>
        <v>0</v>
      </c>
      <c r="P1456" s="607"/>
      <c r="Q1456" s="608"/>
      <c r="R1456" s="606">
        <f>B1456+F1456-I1456+L1456-O1456</f>
        <v>25000000</v>
      </c>
      <c r="S1456" s="607"/>
      <c r="T1456" s="607"/>
      <c r="U1456" s="608"/>
      <c r="V1456" s="479"/>
      <c r="W1456" s="480"/>
      <c r="X1456" s="480"/>
      <c r="Y1456" s="471">
        <f>(R1456-B1456)/B1456*100</f>
        <v>0</v>
      </c>
      <c r="Z1456" s="480"/>
      <c r="AA1456" s="480"/>
      <c r="AB1456" s="480"/>
      <c r="AC1456" s="471">
        <f>R1456-B1456</f>
        <v>0</v>
      </c>
      <c r="AD1456" s="472"/>
      <c r="AE1456" s="472"/>
      <c r="AF1456" s="472"/>
    </row>
    <row r="1457" spans="1:32" s="16" customFormat="1" ht="15" customHeight="1" x14ac:dyDescent="0.2">
      <c r="A1457" s="11"/>
      <c r="B1457" s="669" t="s">
        <v>461</v>
      </c>
      <c r="C1457" s="669"/>
      <c r="D1457" s="669"/>
      <c r="E1457" s="669"/>
      <c r="F1457" s="669"/>
      <c r="G1457" s="669"/>
      <c r="H1457" s="669"/>
      <c r="I1457" s="669"/>
      <c r="J1457" s="669"/>
      <c r="K1457" s="669"/>
      <c r="L1457" s="669"/>
      <c r="M1457" s="669"/>
      <c r="N1457" s="669"/>
      <c r="O1457" s="669"/>
      <c r="P1457" s="669"/>
      <c r="Q1457" s="669"/>
      <c r="R1457" s="669"/>
      <c r="S1457" s="669"/>
      <c r="T1457" s="669"/>
      <c r="U1457" s="669"/>
      <c r="V1457" s="23"/>
    </row>
    <row r="1458" spans="1:32" s="16" customFormat="1" ht="15" customHeight="1" x14ac:dyDescent="0.2">
      <c r="A1458" s="11"/>
      <c r="B1458" s="125"/>
      <c r="C1458" s="408" t="s">
        <v>462</v>
      </c>
      <c r="D1458" s="408"/>
      <c r="E1458" s="408"/>
      <c r="F1458" s="408"/>
      <c r="G1458" s="408"/>
      <c r="H1458" s="408"/>
      <c r="I1458" s="408"/>
      <c r="J1458" s="408"/>
      <c r="K1458" s="408"/>
      <c r="L1458" s="408"/>
      <c r="M1458" s="408"/>
      <c r="N1458" s="408"/>
      <c r="O1458" s="408"/>
      <c r="P1458" s="408"/>
      <c r="Q1458" s="408"/>
      <c r="R1458" s="408"/>
      <c r="S1458" s="408"/>
      <c r="T1458" s="408"/>
      <c r="U1458" s="408"/>
      <c r="V1458" s="23"/>
    </row>
    <row r="1459" spans="1:32" s="16" customFormat="1" ht="18.75" customHeight="1" x14ac:dyDescent="0.2">
      <c r="A1459" s="11"/>
      <c r="B1459" s="125"/>
      <c r="C1459" s="408" t="str">
        <f>"Mutasi Debet sebesar Rp. "&amp;FIXED(F1456+L1456)&amp;"."</f>
        <v>Mutasi Debet sebesar Rp. 0,00.</v>
      </c>
      <c r="D1459" s="408"/>
      <c r="E1459" s="408"/>
      <c r="F1459" s="408"/>
      <c r="G1459" s="408"/>
      <c r="H1459" s="408"/>
      <c r="I1459" s="408"/>
      <c r="J1459" s="408"/>
      <c r="K1459" s="408"/>
      <c r="L1459" s="408"/>
      <c r="M1459" s="408"/>
      <c r="N1459" s="408"/>
      <c r="O1459" s="408"/>
      <c r="P1459" s="408"/>
      <c r="Q1459" s="408"/>
      <c r="R1459" s="408"/>
      <c r="S1459" s="408"/>
      <c r="T1459" s="408"/>
      <c r="U1459" s="408"/>
      <c r="V1459" s="23"/>
    </row>
    <row r="1460" spans="1:32" s="16" customFormat="1" ht="15" customHeight="1" x14ac:dyDescent="0.2">
      <c r="A1460" s="11"/>
      <c r="B1460" s="125"/>
      <c r="C1460" s="408" t="s">
        <v>463</v>
      </c>
      <c r="D1460" s="408"/>
      <c r="E1460" s="408"/>
      <c r="F1460" s="408"/>
      <c r="G1460" s="408"/>
      <c r="H1460" s="408"/>
      <c r="I1460" s="408"/>
      <c r="J1460" s="408"/>
      <c r="K1460" s="408"/>
      <c r="L1460" s="408"/>
      <c r="M1460" s="408"/>
      <c r="N1460" s="408"/>
      <c r="O1460" s="408"/>
      <c r="P1460" s="408"/>
      <c r="Q1460" s="408"/>
      <c r="R1460" s="408"/>
      <c r="S1460" s="408"/>
      <c r="T1460" s="408"/>
      <c r="U1460" s="408"/>
      <c r="V1460" s="23"/>
    </row>
    <row r="1461" spans="1:32" s="16" customFormat="1" ht="21" customHeight="1" x14ac:dyDescent="0.2">
      <c r="A1461" s="11"/>
      <c r="B1461" s="203"/>
      <c r="C1461" s="408" t="str">
        <f>"Mutasi Kredit Rp. "&amp;FIXED(I1456+O1456)&amp;""</f>
        <v>Mutasi Kredit Rp. 0,00</v>
      </c>
      <c r="D1461" s="408"/>
      <c r="E1461" s="408"/>
      <c r="F1461" s="408"/>
      <c r="G1461" s="408"/>
      <c r="H1461" s="408"/>
      <c r="I1461" s="408"/>
      <c r="J1461" s="408"/>
      <c r="K1461" s="408"/>
      <c r="L1461" s="408"/>
      <c r="M1461" s="408"/>
      <c r="N1461" s="408"/>
      <c r="O1461" s="408"/>
      <c r="P1461" s="408"/>
      <c r="Q1461" s="408"/>
      <c r="R1461" s="408"/>
      <c r="S1461" s="408"/>
      <c r="T1461" s="408"/>
      <c r="U1461" s="408"/>
      <c r="V1461" s="23"/>
    </row>
    <row r="1462" spans="1:32" s="16" customFormat="1" ht="15" customHeight="1" x14ac:dyDescent="0.2">
      <c r="A1462" s="11"/>
      <c r="B1462" s="103"/>
      <c r="C1462" s="103"/>
      <c r="D1462" s="103"/>
      <c r="E1462" s="103"/>
      <c r="F1462" s="103"/>
      <c r="G1462" s="103"/>
      <c r="H1462" s="103"/>
      <c r="I1462" s="103"/>
      <c r="J1462" s="103"/>
      <c r="K1462" s="103"/>
      <c r="L1462" s="103"/>
      <c r="M1462" s="103"/>
      <c r="N1462" s="133"/>
      <c r="O1462" s="133"/>
      <c r="P1462" s="133"/>
      <c r="Q1462" s="133"/>
      <c r="R1462" s="133"/>
      <c r="S1462" s="133"/>
      <c r="T1462" s="133"/>
      <c r="U1462" s="133"/>
      <c r="V1462" s="23"/>
    </row>
    <row r="1463" spans="1:32" s="16" customFormat="1" ht="15" customHeight="1" x14ac:dyDescent="0.2">
      <c r="A1463" s="11"/>
      <c r="B1463" s="202" t="s">
        <v>153</v>
      </c>
      <c r="C1463" s="402" t="str">
        <f>'[1]4.NERACA'!C123</f>
        <v>Terbitan</v>
      </c>
      <c r="D1463" s="402"/>
      <c r="E1463" s="402"/>
      <c r="F1463" s="402"/>
      <c r="G1463" s="402"/>
      <c r="H1463" s="402"/>
      <c r="I1463" s="402"/>
      <c r="J1463" s="402"/>
      <c r="K1463" s="402"/>
      <c r="L1463" s="402"/>
      <c r="M1463" s="402"/>
      <c r="N1463" s="402"/>
      <c r="O1463" s="402"/>
      <c r="P1463" s="402"/>
      <c r="Q1463" s="402"/>
      <c r="R1463" s="402"/>
      <c r="S1463" s="402"/>
      <c r="T1463" s="402"/>
      <c r="U1463" s="402"/>
      <c r="V1463" s="23"/>
    </row>
    <row r="1464" spans="1:32" s="16" customFormat="1" ht="18.75" customHeight="1" x14ac:dyDescent="0.2">
      <c r="A1464" s="11"/>
      <c r="C1464" s="407" t="str">
        <f>"Nilai aset tetap berupa "&amp;C1463&amp;"Terbitan 0"</f>
        <v>Nilai aset tetap berupa TerbitanTerbitan 0</v>
      </c>
      <c r="D1464" s="407"/>
      <c r="E1464" s="407"/>
      <c r="F1464" s="407"/>
      <c r="G1464" s="407"/>
      <c r="H1464" s="407"/>
      <c r="I1464" s="407"/>
      <c r="J1464" s="407"/>
      <c r="K1464" s="407"/>
      <c r="L1464" s="407"/>
      <c r="M1464" s="407"/>
      <c r="N1464" s="407"/>
      <c r="O1464" s="407"/>
      <c r="P1464" s="407"/>
      <c r="Q1464" s="407"/>
      <c r="R1464" s="407"/>
      <c r="S1464" s="407"/>
      <c r="T1464" s="407"/>
      <c r="U1464" s="407"/>
      <c r="V1464" s="23"/>
    </row>
    <row r="1465" spans="1:32" s="16" customFormat="1" ht="17.25" customHeight="1" x14ac:dyDescent="0.2">
      <c r="A1465" s="11"/>
      <c r="B1465" s="77"/>
      <c r="C1465" s="407" t="str">
        <f>"Dengan mutasi  selama tahun "&amp;'[1]2.ISIAN DATA SKPD'!D11&amp;" sebagai berikut :"</f>
        <v>Dengan mutasi  selama tahun 2018 sebagai berikut :</v>
      </c>
      <c r="D1465" s="407"/>
      <c r="E1465" s="407"/>
      <c r="F1465" s="407"/>
      <c r="G1465" s="407"/>
      <c r="H1465" s="407"/>
      <c r="I1465" s="407"/>
      <c r="J1465" s="407"/>
      <c r="K1465" s="407"/>
      <c r="L1465" s="407"/>
      <c r="M1465" s="407"/>
      <c r="N1465" s="407"/>
      <c r="O1465" s="407"/>
      <c r="P1465" s="407"/>
      <c r="Q1465" s="407"/>
      <c r="R1465" s="407"/>
      <c r="S1465" s="407"/>
      <c r="T1465" s="407"/>
      <c r="U1465" s="407"/>
      <c r="V1465" s="23"/>
    </row>
    <row r="1466" spans="1:32" s="16" customFormat="1" ht="17.25" customHeight="1" x14ac:dyDescent="0.2">
      <c r="A1466" s="11"/>
      <c r="B1466" s="77"/>
      <c r="C1466" s="225"/>
      <c r="D1466" s="225"/>
      <c r="E1466" s="225"/>
      <c r="F1466" s="225"/>
      <c r="G1466" s="225"/>
      <c r="H1466" s="225"/>
      <c r="I1466" s="225"/>
      <c r="J1466" s="225"/>
      <c r="K1466" s="225"/>
      <c r="L1466" s="225"/>
      <c r="M1466" s="225"/>
      <c r="N1466" s="225"/>
      <c r="O1466" s="225"/>
      <c r="P1466" s="225"/>
      <c r="Q1466" s="225"/>
      <c r="R1466" s="225"/>
      <c r="S1466" s="225"/>
      <c r="T1466" s="225"/>
      <c r="U1466" s="225"/>
      <c r="V1466" s="23"/>
    </row>
    <row r="1467" spans="1:32" s="16" customFormat="1" ht="15" customHeight="1" x14ac:dyDescent="0.2">
      <c r="A1467" s="567" t="s">
        <v>125</v>
      </c>
      <c r="B1467" s="602" t="s">
        <v>443</v>
      </c>
      <c r="C1467" s="603"/>
      <c r="D1467" s="603"/>
      <c r="E1467" s="604"/>
      <c r="F1467" s="605" t="s">
        <v>444</v>
      </c>
      <c r="G1467" s="605"/>
      <c r="H1467" s="605"/>
      <c r="I1467" s="605"/>
      <c r="J1467" s="605"/>
      <c r="K1467" s="605"/>
      <c r="L1467" s="605" t="s">
        <v>445</v>
      </c>
      <c r="M1467" s="605"/>
      <c r="N1467" s="605"/>
      <c r="O1467" s="605"/>
      <c r="P1467" s="605"/>
      <c r="Q1467" s="605"/>
      <c r="R1467" s="600" t="s">
        <v>446</v>
      </c>
      <c r="S1467" s="600"/>
      <c r="T1467" s="600"/>
      <c r="U1467" s="600"/>
      <c r="V1467" s="23"/>
    </row>
    <row r="1468" spans="1:32" s="16" customFormat="1" ht="15" customHeight="1" x14ac:dyDescent="0.2">
      <c r="A1468" s="568"/>
      <c r="B1468" s="616">
        <f>B1407</f>
        <v>2017</v>
      </c>
      <c r="C1468" s="617"/>
      <c r="D1468" s="617"/>
      <c r="E1468" s="618"/>
      <c r="F1468" s="600" t="s">
        <v>447</v>
      </c>
      <c r="G1468" s="600"/>
      <c r="H1468" s="600"/>
      <c r="I1468" s="599" t="s">
        <v>448</v>
      </c>
      <c r="J1468" s="599"/>
      <c r="K1468" s="599"/>
      <c r="L1468" s="600" t="s">
        <v>447</v>
      </c>
      <c r="M1468" s="600"/>
      <c r="N1468" s="600"/>
      <c r="O1468" s="601" t="s">
        <v>448</v>
      </c>
      <c r="P1468" s="601"/>
      <c r="Q1468" s="601"/>
      <c r="R1468" s="685">
        <f>R1407</f>
        <v>2018</v>
      </c>
      <c r="S1468" s="601"/>
      <c r="T1468" s="601"/>
      <c r="U1468" s="601"/>
      <c r="V1468" s="487"/>
      <c r="W1468" s="480"/>
      <c r="X1468" s="480"/>
      <c r="Y1468" s="471" t="s">
        <v>449</v>
      </c>
      <c r="Z1468" s="480"/>
      <c r="AA1468" s="480"/>
      <c r="AB1468" s="480"/>
      <c r="AC1468" s="488" t="s">
        <v>438</v>
      </c>
      <c r="AD1468" s="489"/>
      <c r="AE1468" s="489"/>
      <c r="AF1468" s="489"/>
    </row>
    <row r="1469" spans="1:32" s="16" customFormat="1" ht="15" customHeight="1" x14ac:dyDescent="0.2">
      <c r="A1469" s="200" t="str">
        <f>C1463</f>
        <v>Terbitan</v>
      </c>
      <c r="B1469" s="580">
        <f>'[1]4.NERACA'!D123</f>
        <v>0</v>
      </c>
      <c r="C1469" s="581"/>
      <c r="D1469" s="581"/>
      <c r="E1469" s="582"/>
      <c r="F1469" s="580">
        <f>'[1]4.NERACA'!E123</f>
        <v>0</v>
      </c>
      <c r="G1469" s="581"/>
      <c r="H1469" s="582"/>
      <c r="I1469" s="682">
        <f>'[1]4.NERACA'!F123</f>
        <v>0</v>
      </c>
      <c r="J1469" s="683"/>
      <c r="K1469" s="684"/>
      <c r="L1469" s="580">
        <f>'[1]4.NERACA'!G123</f>
        <v>0</v>
      </c>
      <c r="M1469" s="581"/>
      <c r="N1469" s="582"/>
      <c r="O1469" s="580">
        <f>'[1]4.NERACA'!H123</f>
        <v>0</v>
      </c>
      <c r="P1469" s="581"/>
      <c r="Q1469" s="582"/>
      <c r="R1469" s="580">
        <f>B1469+F1469-I1469+L1469-O1469</f>
        <v>0</v>
      </c>
      <c r="S1469" s="581"/>
      <c r="T1469" s="581"/>
      <c r="U1469" s="582"/>
      <c r="V1469" s="479"/>
      <c r="W1469" s="480"/>
      <c r="X1469" s="480"/>
      <c r="Y1469" s="471">
        <v>0</v>
      </c>
      <c r="Z1469" s="480"/>
      <c r="AA1469" s="480"/>
      <c r="AB1469" s="480"/>
      <c r="AC1469" s="471">
        <f>R1469-B1469</f>
        <v>0</v>
      </c>
      <c r="AD1469" s="472"/>
      <c r="AE1469" s="472"/>
      <c r="AF1469" s="472"/>
    </row>
    <row r="1470" spans="1:32" s="16" customFormat="1" ht="15" customHeight="1" x14ac:dyDescent="0.2">
      <c r="A1470" s="11"/>
      <c r="B1470" s="669" t="s">
        <v>461</v>
      </c>
      <c r="C1470" s="669"/>
      <c r="D1470" s="669"/>
      <c r="E1470" s="669"/>
      <c r="F1470" s="669"/>
      <c r="G1470" s="669"/>
      <c r="H1470" s="669"/>
      <c r="I1470" s="669"/>
      <c r="J1470" s="669"/>
      <c r="K1470" s="669"/>
      <c r="L1470" s="669"/>
      <c r="M1470" s="669"/>
      <c r="N1470" s="669"/>
      <c r="O1470" s="669"/>
      <c r="P1470" s="669"/>
      <c r="Q1470" s="669"/>
      <c r="R1470" s="669"/>
      <c r="S1470" s="669"/>
      <c r="T1470" s="669"/>
      <c r="U1470" s="669"/>
      <c r="V1470" s="23"/>
    </row>
    <row r="1471" spans="1:32" s="16" customFormat="1" ht="15" customHeight="1" x14ac:dyDescent="0.2">
      <c r="A1471" s="11"/>
      <c r="B1471" s="125"/>
      <c r="C1471" s="408" t="s">
        <v>462</v>
      </c>
      <c r="D1471" s="408"/>
      <c r="E1471" s="408"/>
      <c r="F1471" s="408"/>
      <c r="G1471" s="408"/>
      <c r="H1471" s="408"/>
      <c r="I1471" s="408"/>
      <c r="J1471" s="408"/>
      <c r="K1471" s="408"/>
      <c r="L1471" s="408"/>
      <c r="M1471" s="408"/>
      <c r="N1471" s="408"/>
      <c r="O1471" s="408"/>
      <c r="P1471" s="408"/>
      <c r="Q1471" s="408"/>
      <c r="R1471" s="408"/>
      <c r="S1471" s="408"/>
      <c r="T1471" s="408"/>
      <c r="U1471" s="408"/>
      <c r="V1471" s="23"/>
    </row>
    <row r="1472" spans="1:32" s="16" customFormat="1" ht="19.5" customHeight="1" x14ac:dyDescent="0.2">
      <c r="A1472" s="11"/>
      <c r="B1472" s="125"/>
      <c r="C1472" s="408" t="str">
        <f>"Mutasi Debet sebesar Rp. "&amp;FIXED(F1469+L1469)&amp;"."</f>
        <v>Mutasi Debet sebesar Rp. 0,00.</v>
      </c>
      <c r="D1472" s="408"/>
      <c r="E1472" s="408"/>
      <c r="F1472" s="408"/>
      <c r="G1472" s="408"/>
      <c r="H1472" s="408"/>
      <c r="I1472" s="408"/>
      <c r="J1472" s="408"/>
      <c r="K1472" s="408"/>
      <c r="L1472" s="408"/>
      <c r="M1472" s="408"/>
      <c r="N1472" s="408"/>
      <c r="O1472" s="408"/>
      <c r="P1472" s="408"/>
      <c r="Q1472" s="408"/>
      <c r="R1472" s="408"/>
      <c r="S1472" s="408"/>
      <c r="T1472" s="408"/>
      <c r="U1472" s="408"/>
      <c r="V1472" s="23"/>
    </row>
    <row r="1473" spans="1:32" s="16" customFormat="1" ht="15" customHeight="1" x14ac:dyDescent="0.2">
      <c r="A1473" s="11"/>
      <c r="B1473" s="125"/>
      <c r="C1473" s="408" t="s">
        <v>463</v>
      </c>
      <c r="D1473" s="408"/>
      <c r="E1473" s="408"/>
      <c r="F1473" s="408"/>
      <c r="G1473" s="408"/>
      <c r="H1473" s="408"/>
      <c r="I1473" s="408"/>
      <c r="J1473" s="408"/>
      <c r="K1473" s="408"/>
      <c r="L1473" s="408"/>
      <c r="M1473" s="408"/>
      <c r="N1473" s="408"/>
      <c r="O1473" s="408"/>
      <c r="P1473" s="408"/>
      <c r="Q1473" s="408"/>
      <c r="R1473" s="408"/>
      <c r="S1473" s="408"/>
      <c r="T1473" s="408"/>
      <c r="U1473" s="408"/>
      <c r="V1473" s="23"/>
    </row>
    <row r="1474" spans="1:32" s="16" customFormat="1" ht="17.25" customHeight="1" x14ac:dyDescent="0.2">
      <c r="A1474" s="11"/>
      <c r="B1474" s="203"/>
      <c r="C1474" s="408" t="str">
        <f>"Mutasi Kredit Rp. "&amp;FIXED(I1469+O1469)&amp;""</f>
        <v>Mutasi Kredit Rp. 0,00</v>
      </c>
      <c r="D1474" s="408"/>
      <c r="E1474" s="408"/>
      <c r="F1474" s="408"/>
      <c r="G1474" s="408"/>
      <c r="H1474" s="408"/>
      <c r="I1474" s="408"/>
      <c r="J1474" s="408"/>
      <c r="K1474" s="408"/>
      <c r="L1474" s="408"/>
      <c r="M1474" s="408"/>
      <c r="N1474" s="408"/>
      <c r="O1474" s="408"/>
      <c r="P1474" s="408"/>
      <c r="Q1474" s="408"/>
      <c r="R1474" s="408"/>
      <c r="S1474" s="408"/>
      <c r="T1474" s="408"/>
      <c r="U1474" s="408"/>
      <c r="V1474" s="23"/>
    </row>
    <row r="1475" spans="1:32" s="16" customFormat="1" ht="9" customHeight="1" x14ac:dyDescent="0.2">
      <c r="A1475" s="11"/>
      <c r="B1475" s="103"/>
      <c r="C1475" s="103"/>
      <c r="D1475" s="103"/>
      <c r="E1475" s="103"/>
      <c r="F1475" s="103"/>
      <c r="G1475" s="103"/>
      <c r="H1475" s="103"/>
      <c r="I1475" s="103"/>
      <c r="J1475" s="103"/>
      <c r="K1475" s="103"/>
      <c r="L1475" s="103"/>
      <c r="M1475" s="103"/>
      <c r="N1475" s="133"/>
      <c r="O1475" s="133"/>
      <c r="P1475" s="133"/>
      <c r="Q1475" s="133"/>
      <c r="R1475" s="133"/>
      <c r="S1475" s="133"/>
      <c r="T1475" s="133"/>
      <c r="U1475" s="133"/>
      <c r="V1475" s="23"/>
    </row>
    <row r="1476" spans="1:32" s="16" customFormat="1" ht="15" customHeight="1" x14ac:dyDescent="0.2">
      <c r="A1476" s="11"/>
      <c r="B1476" s="202" t="s">
        <v>154</v>
      </c>
      <c r="C1476" s="402" t="str">
        <f>'[1]4.NERACA'!C124</f>
        <v>Barang-Barang Perpustakaan</v>
      </c>
      <c r="D1476" s="402"/>
      <c r="E1476" s="402"/>
      <c r="F1476" s="402"/>
      <c r="G1476" s="402"/>
      <c r="H1476" s="402"/>
      <c r="I1476" s="402"/>
      <c r="J1476" s="402"/>
      <c r="K1476" s="402"/>
      <c r="L1476" s="402"/>
      <c r="M1476" s="402"/>
      <c r="N1476" s="402"/>
      <c r="O1476" s="402"/>
      <c r="P1476" s="402"/>
      <c r="Q1476" s="402"/>
      <c r="R1476" s="402"/>
      <c r="S1476" s="402"/>
      <c r="T1476" s="402"/>
      <c r="U1476" s="402"/>
      <c r="V1476" s="23"/>
    </row>
    <row r="1477" spans="1:32" s="16" customFormat="1" ht="63" customHeight="1" x14ac:dyDescent="0.2">
      <c r="A1477" s="11"/>
      <c r="C1477" s="407" t="str">
        <f>"Nilai aset tetap berupa "&amp;C1476&amp;"  per "&amp;'[1]2.ISIAN DATA SKPD'!D8&amp;" dan  "&amp;'[1]2.ISIAN DATA SKPD'!D12&amp;" adalah sebesar Rp. "&amp;FIXED(R1483)&amp;" dan Rp. "&amp;FIXED(B1483)&amp;" tidak mengalami kenaikan/penurunan sebesar "&amp;FIXED(AC1483)&amp;" atau sebesar "&amp;FIXED(Y1483)&amp;"% dari tahun "&amp;'[1]2.ISIAN DATA SKPD'!D12&amp;"."</f>
        <v>Nilai aset tetap berupa Barang-Barang Perpustakaan  per 31 Desember 2018 dan  2017 adalah sebesar Rp. 228.136.000,00 dan Rp. 228.136.000,00 tidak mengalami kenaikan/penurunan sebesar 0,00 atau sebesar 0,00% dari tahun 2017.</v>
      </c>
      <c r="D1477" s="407"/>
      <c r="E1477" s="407"/>
      <c r="F1477" s="407"/>
      <c r="G1477" s="407"/>
      <c r="H1477" s="407"/>
      <c r="I1477" s="407"/>
      <c r="J1477" s="407"/>
      <c r="K1477" s="407"/>
      <c r="L1477" s="407"/>
      <c r="M1477" s="407"/>
      <c r="N1477" s="407"/>
      <c r="O1477" s="407"/>
      <c r="P1477" s="407"/>
      <c r="Q1477" s="407"/>
      <c r="R1477" s="407"/>
      <c r="S1477" s="407"/>
      <c r="T1477" s="407"/>
      <c r="U1477" s="407"/>
      <c r="V1477" s="23"/>
    </row>
    <row r="1478" spans="1:32" s="16" customFormat="1" ht="27.75" customHeight="1" x14ac:dyDescent="0.2">
      <c r="A1478" s="11"/>
      <c r="C1478" s="77"/>
      <c r="D1478" s="77"/>
      <c r="E1478" s="77"/>
      <c r="F1478" s="77"/>
      <c r="G1478" s="77"/>
      <c r="H1478" s="77"/>
      <c r="I1478" s="77"/>
      <c r="J1478" s="77"/>
      <c r="K1478" s="77"/>
      <c r="L1478" s="77"/>
      <c r="M1478" s="77"/>
      <c r="N1478" s="77"/>
      <c r="O1478" s="77"/>
      <c r="P1478" s="77"/>
      <c r="Q1478" s="77"/>
      <c r="R1478" s="77"/>
      <c r="S1478" s="77"/>
      <c r="T1478" s="77"/>
      <c r="U1478" s="77"/>
      <c r="V1478" s="23"/>
    </row>
    <row r="1479" spans="1:32" s="16" customFormat="1" ht="27.75" customHeight="1" x14ac:dyDescent="0.2">
      <c r="A1479" s="11"/>
      <c r="B1479" s="77"/>
      <c r="C1479" s="407" t="str">
        <f>"Dengan mutasi  selama tahun "&amp;'[1]2.ISIAN DATA SKPD'!D11&amp;" sebagai berikut :"</f>
        <v>Dengan mutasi  selama tahun 2018 sebagai berikut :</v>
      </c>
      <c r="D1479" s="407"/>
      <c r="E1479" s="407"/>
      <c r="F1479" s="407"/>
      <c r="G1479" s="407"/>
      <c r="H1479" s="407"/>
      <c r="I1479" s="407"/>
      <c r="J1479" s="407"/>
      <c r="K1479" s="407"/>
      <c r="L1479" s="407"/>
      <c r="M1479" s="407"/>
      <c r="N1479" s="407"/>
      <c r="O1479" s="407"/>
      <c r="P1479" s="407"/>
      <c r="Q1479" s="407"/>
      <c r="R1479" s="407"/>
      <c r="S1479" s="407"/>
      <c r="T1479" s="407"/>
      <c r="U1479" s="407"/>
      <c r="V1479" s="23"/>
    </row>
    <row r="1480" spans="1:32" s="16" customFormat="1" ht="21" customHeight="1" x14ac:dyDescent="0.2">
      <c r="A1480" s="11"/>
      <c r="B1480" s="77"/>
      <c r="C1480" s="225"/>
      <c r="D1480" s="225"/>
      <c r="E1480" s="225"/>
      <c r="F1480" s="225"/>
      <c r="G1480" s="225"/>
      <c r="H1480" s="225"/>
      <c r="I1480" s="225"/>
      <c r="J1480" s="225"/>
      <c r="K1480" s="225"/>
      <c r="L1480" s="225"/>
      <c r="M1480" s="225"/>
      <c r="N1480" s="225"/>
      <c r="O1480" s="225"/>
      <c r="P1480" s="225"/>
      <c r="Q1480" s="225"/>
      <c r="R1480" s="225"/>
      <c r="S1480" s="225"/>
      <c r="T1480" s="225"/>
      <c r="U1480" s="225"/>
      <c r="V1480" s="23"/>
    </row>
    <row r="1481" spans="1:32" s="16" customFormat="1" ht="15" customHeight="1" x14ac:dyDescent="0.2">
      <c r="A1481" s="567" t="s">
        <v>125</v>
      </c>
      <c r="B1481" s="569" t="s">
        <v>443</v>
      </c>
      <c r="C1481" s="570"/>
      <c r="D1481" s="570"/>
      <c r="E1481" s="571"/>
      <c r="F1481" s="572" t="s">
        <v>444</v>
      </c>
      <c r="G1481" s="572"/>
      <c r="H1481" s="572"/>
      <c r="I1481" s="572"/>
      <c r="J1481" s="572"/>
      <c r="K1481" s="572"/>
      <c r="L1481" s="572" t="s">
        <v>445</v>
      </c>
      <c r="M1481" s="572"/>
      <c r="N1481" s="572"/>
      <c r="O1481" s="572"/>
      <c r="P1481" s="572"/>
      <c r="Q1481" s="572"/>
      <c r="R1481" s="562" t="s">
        <v>446</v>
      </c>
      <c r="S1481" s="562"/>
      <c r="T1481" s="562"/>
      <c r="U1481" s="562"/>
      <c r="V1481" s="23"/>
    </row>
    <row r="1482" spans="1:32" s="16" customFormat="1" ht="15" customHeight="1" x14ac:dyDescent="0.2">
      <c r="A1482" s="568"/>
      <c r="B1482" s="564">
        <f>B1407</f>
        <v>2017</v>
      </c>
      <c r="C1482" s="565"/>
      <c r="D1482" s="565"/>
      <c r="E1482" s="566"/>
      <c r="F1482" s="562" t="s">
        <v>447</v>
      </c>
      <c r="G1482" s="562"/>
      <c r="H1482" s="562"/>
      <c r="I1482" s="573" t="s">
        <v>448</v>
      </c>
      <c r="J1482" s="573"/>
      <c r="K1482" s="573"/>
      <c r="L1482" s="562" t="s">
        <v>447</v>
      </c>
      <c r="M1482" s="562"/>
      <c r="N1482" s="562"/>
      <c r="O1482" s="563" t="s">
        <v>448</v>
      </c>
      <c r="P1482" s="563"/>
      <c r="Q1482" s="563"/>
      <c r="R1482" s="564">
        <f>R1407</f>
        <v>2018</v>
      </c>
      <c r="S1482" s="565"/>
      <c r="T1482" s="565"/>
      <c r="U1482" s="566"/>
      <c r="V1482" s="487"/>
      <c r="W1482" s="480"/>
      <c r="X1482" s="480"/>
      <c r="Y1482" s="471" t="s">
        <v>449</v>
      </c>
      <c r="Z1482" s="480"/>
      <c r="AA1482" s="480"/>
      <c r="AB1482" s="480"/>
      <c r="AC1482" s="488" t="s">
        <v>438</v>
      </c>
      <c r="AD1482" s="489"/>
      <c r="AE1482" s="489"/>
      <c r="AF1482" s="489"/>
    </row>
    <row r="1483" spans="1:32" s="16" customFormat="1" ht="29.25" customHeight="1" x14ac:dyDescent="0.2">
      <c r="A1483" s="200" t="str">
        <f>C1476</f>
        <v>Barang-Barang Perpustakaan</v>
      </c>
      <c r="B1483" s="650">
        <f>'[1]4.NERACA'!D124</f>
        <v>228136000</v>
      </c>
      <c r="C1483" s="651"/>
      <c r="D1483" s="651"/>
      <c r="E1483" s="652"/>
      <c r="F1483" s="650">
        <f>'[1]4.NERACA'!E124</f>
        <v>0</v>
      </c>
      <c r="G1483" s="651"/>
      <c r="H1483" s="652"/>
      <c r="I1483" s="666">
        <f>'[1]4.NERACA'!F124</f>
        <v>0</v>
      </c>
      <c r="J1483" s="667"/>
      <c r="K1483" s="668"/>
      <c r="L1483" s="650">
        <f>'[1]4.NERACA'!G124</f>
        <v>0</v>
      </c>
      <c r="M1483" s="651"/>
      <c r="N1483" s="652"/>
      <c r="O1483" s="650">
        <f>'[1]4.NERACA'!H124</f>
        <v>0</v>
      </c>
      <c r="P1483" s="651"/>
      <c r="Q1483" s="652"/>
      <c r="R1483" s="650">
        <f>B1483+F1483-I1483+L1483-O1483</f>
        <v>228136000</v>
      </c>
      <c r="S1483" s="651"/>
      <c r="T1483" s="651"/>
      <c r="U1483" s="652"/>
      <c r="V1483" s="479"/>
      <c r="W1483" s="480"/>
      <c r="X1483" s="480"/>
      <c r="Y1483" s="471">
        <f>(R1483-B1483)/B1483*100</f>
        <v>0</v>
      </c>
      <c r="Z1483" s="480"/>
      <c r="AA1483" s="480"/>
      <c r="AB1483" s="480"/>
      <c r="AC1483" s="471">
        <f>R1483-B1483</f>
        <v>0</v>
      </c>
      <c r="AD1483" s="472"/>
      <c r="AE1483" s="472"/>
      <c r="AF1483" s="472"/>
    </row>
    <row r="1484" spans="1:32" s="16" customFormat="1" ht="15" customHeight="1" x14ac:dyDescent="0.2">
      <c r="A1484" s="11"/>
      <c r="B1484" s="669" t="s">
        <v>461</v>
      </c>
      <c r="C1484" s="669"/>
      <c r="D1484" s="669"/>
      <c r="E1484" s="669"/>
      <c r="F1484" s="669"/>
      <c r="G1484" s="669"/>
      <c r="H1484" s="669"/>
      <c r="I1484" s="669"/>
      <c r="J1484" s="669"/>
      <c r="K1484" s="669"/>
      <c r="L1484" s="669"/>
      <c r="M1484" s="669"/>
      <c r="N1484" s="669"/>
      <c r="O1484" s="669"/>
      <c r="P1484" s="669"/>
      <c r="Q1484" s="669"/>
      <c r="R1484" s="669"/>
      <c r="S1484" s="669"/>
      <c r="T1484" s="669"/>
      <c r="U1484" s="669"/>
      <c r="V1484" s="23"/>
    </row>
    <row r="1485" spans="1:32" s="16" customFormat="1" ht="15" customHeight="1" x14ac:dyDescent="0.2">
      <c r="A1485" s="11"/>
      <c r="B1485" s="125"/>
      <c r="C1485" s="408" t="s">
        <v>462</v>
      </c>
      <c r="D1485" s="408"/>
      <c r="E1485" s="408"/>
      <c r="F1485" s="408"/>
      <c r="G1485" s="408"/>
      <c r="H1485" s="408"/>
      <c r="I1485" s="408"/>
      <c r="J1485" s="408"/>
      <c r="K1485" s="408"/>
      <c r="L1485" s="408"/>
      <c r="M1485" s="408"/>
      <c r="N1485" s="408"/>
      <c r="O1485" s="408"/>
      <c r="P1485" s="408"/>
      <c r="Q1485" s="408"/>
      <c r="R1485" s="408"/>
      <c r="S1485" s="408"/>
      <c r="T1485" s="408"/>
      <c r="U1485" s="408"/>
      <c r="V1485" s="23"/>
    </row>
    <row r="1486" spans="1:32" s="16" customFormat="1" ht="18" customHeight="1" x14ac:dyDescent="0.2">
      <c r="A1486" s="11"/>
      <c r="B1486" s="125"/>
      <c r="C1486" s="408" t="str">
        <f>"Mutasi Debet sebesar Rp. "&amp;FIXED(F1483+L1483)&amp;"."</f>
        <v>Mutasi Debet sebesar Rp. 0,00.</v>
      </c>
      <c r="D1486" s="408"/>
      <c r="E1486" s="408"/>
      <c r="F1486" s="408"/>
      <c r="G1486" s="408"/>
      <c r="H1486" s="408"/>
      <c r="I1486" s="408"/>
      <c r="J1486" s="408"/>
      <c r="K1486" s="408"/>
      <c r="L1486" s="408"/>
      <c r="M1486" s="408"/>
      <c r="N1486" s="408"/>
      <c r="O1486" s="408"/>
      <c r="P1486" s="408"/>
      <c r="Q1486" s="408"/>
      <c r="R1486" s="408"/>
      <c r="S1486" s="408"/>
      <c r="T1486" s="408"/>
      <c r="U1486" s="408"/>
      <c r="V1486" s="23"/>
    </row>
    <row r="1487" spans="1:32" s="16" customFormat="1" ht="15" customHeight="1" x14ac:dyDescent="0.2">
      <c r="A1487" s="11"/>
      <c r="B1487" s="125"/>
      <c r="C1487" s="408" t="s">
        <v>463</v>
      </c>
      <c r="D1487" s="408"/>
      <c r="E1487" s="408"/>
      <c r="F1487" s="408"/>
      <c r="G1487" s="408"/>
      <c r="H1487" s="408"/>
      <c r="I1487" s="408"/>
      <c r="J1487" s="408"/>
      <c r="K1487" s="408"/>
      <c r="L1487" s="408"/>
      <c r="M1487" s="408"/>
      <c r="N1487" s="408"/>
      <c r="O1487" s="408"/>
      <c r="P1487" s="408"/>
      <c r="Q1487" s="408"/>
      <c r="R1487" s="408"/>
      <c r="S1487" s="408"/>
      <c r="T1487" s="408"/>
      <c r="U1487" s="408"/>
      <c r="V1487" s="23"/>
    </row>
    <row r="1488" spans="1:32" s="16" customFormat="1" ht="15" customHeight="1" x14ac:dyDescent="0.2">
      <c r="A1488" s="11"/>
      <c r="B1488" s="203"/>
      <c r="C1488" s="408" t="str">
        <f>"Mutasi Kredit Rp. "&amp;FIXED(I1483+O1483)&amp;""</f>
        <v>Mutasi Kredit Rp. 0,00</v>
      </c>
      <c r="D1488" s="408"/>
      <c r="E1488" s="408"/>
      <c r="F1488" s="408"/>
      <c r="G1488" s="408"/>
      <c r="H1488" s="408"/>
      <c r="I1488" s="408"/>
      <c r="J1488" s="408"/>
      <c r="K1488" s="408"/>
      <c r="L1488" s="408"/>
      <c r="M1488" s="408"/>
      <c r="N1488" s="408"/>
      <c r="O1488" s="408"/>
      <c r="P1488" s="408"/>
      <c r="Q1488" s="408"/>
      <c r="R1488" s="408"/>
      <c r="S1488" s="408"/>
      <c r="T1488" s="408"/>
      <c r="U1488" s="408"/>
      <c r="V1488" s="23"/>
    </row>
    <row r="1489" spans="1:32" s="16" customFormat="1" ht="15" customHeight="1" x14ac:dyDescent="0.2">
      <c r="A1489" s="11"/>
      <c r="B1489" s="103"/>
      <c r="C1489" s="103"/>
      <c r="D1489" s="103"/>
      <c r="E1489" s="103"/>
      <c r="F1489" s="103"/>
      <c r="G1489" s="103"/>
      <c r="H1489" s="103"/>
      <c r="I1489" s="103"/>
      <c r="J1489" s="103"/>
      <c r="K1489" s="103"/>
      <c r="L1489" s="103"/>
      <c r="M1489" s="103"/>
      <c r="N1489" s="133"/>
      <c r="O1489" s="133"/>
      <c r="P1489" s="133"/>
      <c r="Q1489" s="133"/>
      <c r="R1489" s="133"/>
      <c r="S1489" s="133"/>
      <c r="T1489" s="133"/>
      <c r="U1489" s="133"/>
      <c r="V1489" s="23"/>
    </row>
    <row r="1490" spans="1:32" s="16" customFormat="1" ht="15" customHeight="1" x14ac:dyDescent="0.2">
      <c r="A1490" s="11"/>
      <c r="B1490" s="202" t="s">
        <v>155</v>
      </c>
      <c r="C1490" s="402" t="str">
        <f>'[1]4.NERACA'!C125</f>
        <v>Barang Bercorak Kebudayaan</v>
      </c>
      <c r="D1490" s="402"/>
      <c r="E1490" s="402"/>
      <c r="F1490" s="402"/>
      <c r="G1490" s="402"/>
      <c r="H1490" s="402"/>
      <c r="I1490" s="402"/>
      <c r="J1490" s="402"/>
      <c r="K1490" s="402"/>
      <c r="L1490" s="402"/>
      <c r="M1490" s="402"/>
      <c r="N1490" s="402"/>
      <c r="O1490" s="402"/>
      <c r="P1490" s="402"/>
      <c r="Q1490" s="402"/>
      <c r="R1490" s="402"/>
      <c r="S1490" s="402"/>
      <c r="T1490" s="402"/>
      <c r="U1490" s="402"/>
      <c r="V1490" s="23"/>
    </row>
    <row r="1491" spans="1:32" s="16" customFormat="1" ht="65.25" customHeight="1" x14ac:dyDescent="0.2">
      <c r="A1491" s="11"/>
      <c r="C1491" s="407" t="str">
        <f>"Nilai aset tetap berupa "&amp;C1490&amp;"  per "&amp;'[1]2.ISIAN DATA SKPD'!D8&amp;" dan  "&amp;'[1]2.ISIAN DATA SKPD'!D12&amp;" adalah sebesar Rp. "&amp;FIXED(R1496)&amp;" dan Rp. "&amp;FIXED(B1496)&amp;" tidak mengalami kenaikan/penurunan sebesar Rp. "&amp;FIXED(AC1496)&amp;" atau sebesar "&amp;FIXED(Y1496)&amp;"% dari tahun "&amp;'[1]2.ISIAN DATA SKPD'!D12&amp;"."</f>
        <v>Nilai aset tetap berupa Barang Bercorak Kebudayaan  per 31 Desember 2018 dan  2017 adalah sebesar Rp. 177.120.988,00 dan Rp. 164.714.240,00 tidak mengalami kenaikan/penurunan sebesar Rp. 12.406.748,00 atau sebesar 7,53% dari tahun 2017.</v>
      </c>
      <c r="D1491" s="407"/>
      <c r="E1491" s="407"/>
      <c r="F1491" s="407"/>
      <c r="G1491" s="407"/>
      <c r="H1491" s="407"/>
      <c r="I1491" s="407"/>
      <c r="J1491" s="407"/>
      <c r="K1491" s="407"/>
      <c r="L1491" s="407"/>
      <c r="M1491" s="407"/>
      <c r="N1491" s="407"/>
      <c r="O1491" s="407"/>
      <c r="P1491" s="407"/>
      <c r="Q1491" s="407"/>
      <c r="R1491" s="407"/>
      <c r="S1491" s="407"/>
      <c r="T1491" s="407"/>
      <c r="U1491" s="407"/>
      <c r="V1491" s="23"/>
    </row>
    <row r="1492" spans="1:32" s="16" customFormat="1" ht="22.5" customHeight="1" x14ac:dyDescent="0.2">
      <c r="A1492" s="11"/>
      <c r="B1492" s="77"/>
      <c r="C1492" s="407" t="str">
        <f>"Dengan mutasi  selama tahun "&amp;'[1]2.ISIAN DATA SKPD'!D11&amp;" sebagai berikut :"</f>
        <v>Dengan mutasi  selama tahun 2018 sebagai berikut :</v>
      </c>
      <c r="D1492" s="407"/>
      <c r="E1492" s="407"/>
      <c r="F1492" s="407"/>
      <c r="G1492" s="407"/>
      <c r="H1492" s="407"/>
      <c r="I1492" s="407"/>
      <c r="J1492" s="407"/>
      <c r="K1492" s="407"/>
      <c r="L1492" s="407"/>
      <c r="M1492" s="407"/>
      <c r="N1492" s="407"/>
      <c r="O1492" s="407"/>
      <c r="P1492" s="407"/>
      <c r="Q1492" s="407"/>
      <c r="R1492" s="407"/>
      <c r="S1492" s="407"/>
      <c r="T1492" s="407"/>
      <c r="U1492" s="407"/>
      <c r="V1492" s="23"/>
    </row>
    <row r="1493" spans="1:32" s="16" customFormat="1" ht="14.25" customHeight="1" x14ac:dyDescent="0.2">
      <c r="A1493" s="11"/>
      <c r="B1493" s="77"/>
      <c r="C1493" s="225"/>
      <c r="D1493" s="225"/>
      <c r="E1493" s="225"/>
      <c r="F1493" s="225"/>
      <c r="G1493" s="225"/>
      <c r="H1493" s="225"/>
      <c r="I1493" s="225"/>
      <c r="J1493" s="225"/>
      <c r="K1493" s="225"/>
      <c r="L1493" s="225"/>
      <c r="M1493" s="225"/>
      <c r="N1493" s="225"/>
      <c r="O1493" s="225"/>
      <c r="P1493" s="225"/>
      <c r="Q1493" s="225"/>
      <c r="R1493" s="225"/>
      <c r="S1493" s="225"/>
      <c r="T1493" s="225"/>
      <c r="U1493" s="225"/>
      <c r="V1493" s="23"/>
    </row>
    <row r="1494" spans="1:32" s="16" customFormat="1" ht="15" customHeight="1" x14ac:dyDescent="0.2">
      <c r="A1494" s="567" t="s">
        <v>125</v>
      </c>
      <c r="B1494" s="602" t="s">
        <v>443</v>
      </c>
      <c r="C1494" s="603"/>
      <c r="D1494" s="603"/>
      <c r="E1494" s="604"/>
      <c r="F1494" s="605" t="s">
        <v>444</v>
      </c>
      <c r="G1494" s="605"/>
      <c r="H1494" s="605"/>
      <c r="I1494" s="605"/>
      <c r="J1494" s="605"/>
      <c r="K1494" s="605"/>
      <c r="L1494" s="605" t="s">
        <v>445</v>
      </c>
      <c r="M1494" s="605"/>
      <c r="N1494" s="605"/>
      <c r="O1494" s="605"/>
      <c r="P1494" s="605"/>
      <c r="Q1494" s="605"/>
      <c r="R1494" s="600" t="s">
        <v>446</v>
      </c>
      <c r="S1494" s="600"/>
      <c r="T1494" s="600"/>
      <c r="U1494" s="600"/>
      <c r="V1494" s="23"/>
    </row>
    <row r="1495" spans="1:32" s="16" customFormat="1" ht="15" customHeight="1" x14ac:dyDescent="0.2">
      <c r="A1495" s="568"/>
      <c r="B1495" s="616">
        <f>B1407</f>
        <v>2017</v>
      </c>
      <c r="C1495" s="617"/>
      <c r="D1495" s="617"/>
      <c r="E1495" s="618"/>
      <c r="F1495" s="600" t="s">
        <v>447</v>
      </c>
      <c r="G1495" s="600"/>
      <c r="H1495" s="600"/>
      <c r="I1495" s="599" t="s">
        <v>448</v>
      </c>
      <c r="J1495" s="599"/>
      <c r="K1495" s="599"/>
      <c r="L1495" s="600" t="s">
        <v>447</v>
      </c>
      <c r="M1495" s="600"/>
      <c r="N1495" s="600"/>
      <c r="O1495" s="601" t="s">
        <v>448</v>
      </c>
      <c r="P1495" s="601"/>
      <c r="Q1495" s="601"/>
      <c r="R1495" s="564">
        <f>R1407</f>
        <v>2018</v>
      </c>
      <c r="S1495" s="565"/>
      <c r="T1495" s="565"/>
      <c r="U1495" s="566"/>
      <c r="V1495" s="487"/>
      <c r="W1495" s="480"/>
      <c r="X1495" s="480"/>
      <c r="Y1495" s="471" t="s">
        <v>449</v>
      </c>
      <c r="Z1495" s="480"/>
      <c r="AA1495" s="480"/>
      <c r="AB1495" s="480"/>
      <c r="AC1495" s="488" t="s">
        <v>438</v>
      </c>
      <c r="AD1495" s="489"/>
      <c r="AE1495" s="489"/>
      <c r="AF1495" s="489"/>
    </row>
    <row r="1496" spans="1:32" s="16" customFormat="1" ht="30.75" customHeight="1" x14ac:dyDescent="0.2">
      <c r="A1496" s="200" t="str">
        <f>C1490</f>
        <v>Barang Bercorak Kebudayaan</v>
      </c>
      <c r="B1496" s="650">
        <f>'[1]4.NERACA'!D125</f>
        <v>164714240</v>
      </c>
      <c r="C1496" s="651"/>
      <c r="D1496" s="651"/>
      <c r="E1496" s="652"/>
      <c r="F1496" s="650">
        <f>'[1]4.NERACA'!E125</f>
        <v>12406748</v>
      </c>
      <c r="G1496" s="651"/>
      <c r="H1496" s="652"/>
      <c r="I1496" s="666">
        <f>'[1]4.NERACA'!F125</f>
        <v>0</v>
      </c>
      <c r="J1496" s="667"/>
      <c r="K1496" s="668"/>
      <c r="L1496" s="650">
        <f>'[1]4.NERACA'!G125</f>
        <v>0</v>
      </c>
      <c r="M1496" s="651"/>
      <c r="N1496" s="652"/>
      <c r="O1496" s="650">
        <f>'[1]4.NERACA'!H125</f>
        <v>0</v>
      </c>
      <c r="P1496" s="651"/>
      <c r="Q1496" s="652"/>
      <c r="R1496" s="650">
        <f>B1496+F1496-I1496+L1496-O1496</f>
        <v>177120988</v>
      </c>
      <c r="S1496" s="651"/>
      <c r="T1496" s="651"/>
      <c r="U1496" s="652"/>
      <c r="V1496" s="479"/>
      <c r="W1496" s="480"/>
      <c r="X1496" s="480"/>
      <c r="Y1496" s="471">
        <f>(R1496-B1496)/B1496*100</f>
        <v>7.532286218847867</v>
      </c>
      <c r="Z1496" s="480"/>
      <c r="AA1496" s="480"/>
      <c r="AB1496" s="480"/>
      <c r="AC1496" s="471">
        <f>R1496-B1496</f>
        <v>12406748</v>
      </c>
      <c r="AD1496" s="472"/>
      <c r="AE1496" s="472"/>
      <c r="AF1496" s="472"/>
    </row>
    <row r="1497" spans="1:32" s="16" customFormat="1" ht="24.75" customHeight="1" x14ac:dyDescent="0.2">
      <c r="A1497" s="11"/>
      <c r="B1497" s="669" t="s">
        <v>461</v>
      </c>
      <c r="C1497" s="669"/>
      <c r="D1497" s="669"/>
      <c r="E1497" s="669"/>
      <c r="F1497" s="669"/>
      <c r="G1497" s="669"/>
      <c r="H1497" s="669"/>
      <c r="I1497" s="669"/>
      <c r="J1497" s="669"/>
      <c r="K1497" s="669"/>
      <c r="L1497" s="669"/>
      <c r="M1497" s="669"/>
      <c r="N1497" s="669"/>
      <c r="O1497" s="669"/>
      <c r="P1497" s="669"/>
      <c r="Q1497" s="669"/>
      <c r="R1497" s="669"/>
      <c r="S1497" s="669"/>
      <c r="T1497" s="669"/>
      <c r="U1497" s="669"/>
      <c r="V1497" s="23"/>
    </row>
    <row r="1498" spans="1:32" s="16" customFormat="1" ht="15" customHeight="1" x14ac:dyDescent="0.2">
      <c r="A1498" s="11"/>
      <c r="B1498" s="125"/>
      <c r="C1498" s="408" t="s">
        <v>462</v>
      </c>
      <c r="D1498" s="408"/>
      <c r="E1498" s="408"/>
      <c r="F1498" s="408"/>
      <c r="G1498" s="408"/>
      <c r="H1498" s="408"/>
      <c r="I1498" s="408"/>
      <c r="J1498" s="408"/>
      <c r="K1498" s="408"/>
      <c r="L1498" s="408"/>
      <c r="M1498" s="408"/>
      <c r="N1498" s="408"/>
      <c r="O1498" s="408"/>
      <c r="P1498" s="408"/>
      <c r="Q1498" s="408"/>
      <c r="R1498" s="408"/>
      <c r="S1498" s="408"/>
      <c r="T1498" s="408"/>
      <c r="U1498" s="408"/>
      <c r="V1498" s="23"/>
    </row>
    <row r="1499" spans="1:32" s="16" customFormat="1" ht="19.5" customHeight="1" x14ac:dyDescent="0.2">
      <c r="A1499" s="11"/>
      <c r="B1499" s="125"/>
      <c r="C1499" s="408" t="str">
        <f>"Mutasi Debet sebesar Rp. "&amp;FIXED(F1496+L1496)&amp;" ."</f>
        <v>Mutasi Debet sebesar Rp. 12.406.748,00 .</v>
      </c>
      <c r="D1499" s="408"/>
      <c r="E1499" s="408"/>
      <c r="F1499" s="408"/>
      <c r="G1499" s="408"/>
      <c r="H1499" s="408"/>
      <c r="I1499" s="408"/>
      <c r="J1499" s="408"/>
      <c r="K1499" s="408"/>
      <c r="L1499" s="408"/>
      <c r="M1499" s="408"/>
      <c r="N1499" s="408"/>
      <c r="O1499" s="408"/>
      <c r="P1499" s="408"/>
      <c r="Q1499" s="408"/>
      <c r="R1499" s="408"/>
      <c r="S1499" s="408"/>
      <c r="T1499" s="408"/>
      <c r="U1499" s="408"/>
      <c r="V1499" s="23"/>
    </row>
    <row r="1500" spans="1:32" s="16" customFormat="1" ht="15" customHeight="1" x14ac:dyDescent="0.2">
      <c r="A1500" s="11"/>
      <c r="B1500" s="125"/>
      <c r="C1500" s="408" t="s">
        <v>463</v>
      </c>
      <c r="D1500" s="408"/>
      <c r="E1500" s="408"/>
      <c r="F1500" s="408"/>
      <c r="G1500" s="408"/>
      <c r="H1500" s="408"/>
      <c r="I1500" s="408"/>
      <c r="J1500" s="408"/>
      <c r="K1500" s="408"/>
      <c r="L1500" s="408"/>
      <c r="M1500" s="408"/>
      <c r="N1500" s="408"/>
      <c r="O1500" s="408"/>
      <c r="P1500" s="408"/>
      <c r="Q1500" s="408"/>
      <c r="R1500" s="408"/>
      <c r="S1500" s="408"/>
      <c r="T1500" s="408"/>
      <c r="U1500" s="408"/>
      <c r="V1500" s="23"/>
    </row>
    <row r="1501" spans="1:32" s="16" customFormat="1" ht="18.75" customHeight="1" x14ac:dyDescent="0.2">
      <c r="A1501" s="11"/>
      <c r="B1501" s="203"/>
      <c r="C1501" s="408" t="str">
        <f>"Mutasi Kredit Rp. "&amp;FIXED(I1496+O1496)&amp;""</f>
        <v>Mutasi Kredit Rp. 0,00</v>
      </c>
      <c r="D1501" s="408"/>
      <c r="E1501" s="408"/>
      <c r="F1501" s="408"/>
      <c r="G1501" s="408"/>
      <c r="H1501" s="408"/>
      <c r="I1501" s="408"/>
      <c r="J1501" s="408"/>
      <c r="K1501" s="408"/>
      <c r="L1501" s="408"/>
      <c r="M1501" s="408"/>
      <c r="N1501" s="408"/>
      <c r="O1501" s="408"/>
      <c r="P1501" s="408"/>
      <c r="Q1501" s="408"/>
      <c r="R1501" s="408"/>
      <c r="S1501" s="408"/>
      <c r="T1501" s="408"/>
      <c r="U1501" s="408"/>
      <c r="V1501" s="23"/>
    </row>
    <row r="1502" spans="1:32" s="16" customFormat="1" ht="15" customHeight="1" x14ac:dyDescent="0.2">
      <c r="A1502" s="11"/>
      <c r="B1502" s="103"/>
      <c r="C1502" s="103"/>
      <c r="D1502" s="103"/>
      <c r="E1502" s="103"/>
      <c r="F1502" s="103"/>
      <c r="G1502" s="103"/>
      <c r="H1502" s="103"/>
      <c r="I1502" s="103"/>
      <c r="J1502" s="103"/>
      <c r="K1502" s="103"/>
      <c r="L1502" s="103"/>
      <c r="M1502" s="103"/>
      <c r="N1502" s="133"/>
      <c r="O1502" s="133"/>
      <c r="P1502" s="133"/>
      <c r="Q1502" s="133"/>
      <c r="R1502" s="133"/>
      <c r="S1502" s="133"/>
      <c r="T1502" s="133"/>
      <c r="U1502" s="133"/>
      <c r="V1502" s="23"/>
    </row>
    <row r="1503" spans="1:32" s="16" customFormat="1" ht="15" customHeight="1" x14ac:dyDescent="0.2">
      <c r="A1503" s="11"/>
      <c r="B1503" s="202" t="s">
        <v>156</v>
      </c>
      <c r="C1503" s="402" t="str">
        <f>'[1]4.NERACA'!C126</f>
        <v>Alat Olah Raga Lainnya</v>
      </c>
      <c r="D1503" s="402"/>
      <c r="E1503" s="402"/>
      <c r="F1503" s="402"/>
      <c r="G1503" s="402"/>
      <c r="H1503" s="402"/>
      <c r="I1503" s="402"/>
      <c r="J1503" s="402"/>
      <c r="K1503" s="402"/>
      <c r="L1503" s="402"/>
      <c r="M1503" s="402"/>
      <c r="N1503" s="402"/>
      <c r="O1503" s="402"/>
      <c r="P1503" s="402"/>
      <c r="Q1503" s="402"/>
      <c r="R1503" s="402"/>
      <c r="S1503" s="402"/>
      <c r="T1503" s="402"/>
      <c r="U1503" s="402"/>
      <c r="V1503" s="23"/>
    </row>
    <row r="1504" spans="1:32" s="16" customFormat="1" ht="33.75" customHeight="1" x14ac:dyDescent="0.2">
      <c r="A1504" s="11"/>
      <c r="C1504" s="407" t="str">
        <f>"Nilai aset tetap berupa "&amp;C1503&amp;"  per "&amp;'[1]2.ISIAN DATA SKPD'!D8&amp;" dan  "&amp;'[1]2.ISIAN DATA SKPD'!D12&amp;" adalah sebesar Rp. "&amp;FIXED(R1509)&amp;""</f>
        <v>Nilai aset tetap berupa Alat Olah Raga Lainnya  per 31 Desember 2018 dan  2017 adalah sebesar Rp. 67.045.000,00</v>
      </c>
      <c r="D1504" s="407"/>
      <c r="E1504" s="407"/>
      <c r="F1504" s="407"/>
      <c r="G1504" s="407"/>
      <c r="H1504" s="407"/>
      <c r="I1504" s="407"/>
      <c r="J1504" s="407"/>
      <c r="K1504" s="407"/>
      <c r="L1504" s="407"/>
      <c r="M1504" s="407"/>
      <c r="N1504" s="407"/>
      <c r="O1504" s="407"/>
      <c r="P1504" s="407"/>
      <c r="Q1504" s="407"/>
      <c r="R1504" s="407"/>
      <c r="S1504" s="407"/>
      <c r="T1504" s="407"/>
      <c r="U1504" s="407"/>
      <c r="V1504" s="23"/>
    </row>
    <row r="1505" spans="1:32" s="16" customFormat="1" ht="18.75" customHeight="1" x14ac:dyDescent="0.2">
      <c r="A1505" s="11"/>
      <c r="B1505" s="77"/>
      <c r="C1505" s="407" t="str">
        <f>"Dengan mutasi  selama tahun "&amp;'[1]2.ISIAN DATA SKPD'!D11&amp;" sebagai berikut :"</f>
        <v>Dengan mutasi  selama tahun 2018 sebagai berikut :</v>
      </c>
      <c r="D1505" s="407"/>
      <c r="E1505" s="407"/>
      <c r="F1505" s="407"/>
      <c r="G1505" s="407"/>
      <c r="H1505" s="407"/>
      <c r="I1505" s="407"/>
      <c r="J1505" s="407"/>
      <c r="K1505" s="407"/>
      <c r="L1505" s="407"/>
      <c r="M1505" s="407"/>
      <c r="N1505" s="407"/>
      <c r="O1505" s="407"/>
      <c r="P1505" s="407"/>
      <c r="Q1505" s="407"/>
      <c r="R1505" s="407"/>
      <c r="S1505" s="407"/>
      <c r="T1505" s="407"/>
      <c r="U1505" s="407"/>
      <c r="V1505" s="23"/>
    </row>
    <row r="1506" spans="1:32" s="16" customFormat="1" ht="18.75" customHeight="1" x14ac:dyDescent="0.2">
      <c r="A1506" s="11"/>
      <c r="B1506" s="77"/>
      <c r="C1506" s="225"/>
      <c r="D1506" s="225"/>
      <c r="E1506" s="225"/>
      <c r="F1506" s="225"/>
      <c r="G1506" s="225"/>
      <c r="H1506" s="225"/>
      <c r="I1506" s="225"/>
      <c r="J1506" s="225"/>
      <c r="K1506" s="225"/>
      <c r="L1506" s="225"/>
      <c r="M1506" s="225"/>
      <c r="N1506" s="225"/>
      <c r="O1506" s="225"/>
      <c r="P1506" s="225"/>
      <c r="Q1506" s="225"/>
      <c r="R1506" s="225"/>
      <c r="S1506" s="225"/>
      <c r="T1506" s="225"/>
      <c r="U1506" s="225"/>
      <c r="V1506" s="23"/>
    </row>
    <row r="1507" spans="1:32" s="16" customFormat="1" ht="15" customHeight="1" x14ac:dyDescent="0.2">
      <c r="A1507" s="567" t="s">
        <v>125</v>
      </c>
      <c r="B1507" s="602" t="s">
        <v>443</v>
      </c>
      <c r="C1507" s="603"/>
      <c r="D1507" s="603"/>
      <c r="E1507" s="604"/>
      <c r="F1507" s="605" t="s">
        <v>444</v>
      </c>
      <c r="G1507" s="605"/>
      <c r="H1507" s="605"/>
      <c r="I1507" s="605"/>
      <c r="J1507" s="605"/>
      <c r="K1507" s="605"/>
      <c r="L1507" s="605" t="s">
        <v>445</v>
      </c>
      <c r="M1507" s="605"/>
      <c r="N1507" s="605"/>
      <c r="O1507" s="605"/>
      <c r="P1507" s="605"/>
      <c r="Q1507" s="605"/>
      <c r="R1507" s="600" t="s">
        <v>446</v>
      </c>
      <c r="S1507" s="600"/>
      <c r="T1507" s="600"/>
      <c r="U1507" s="600"/>
      <c r="V1507" s="23"/>
    </row>
    <row r="1508" spans="1:32" s="16" customFormat="1" ht="15" customHeight="1" x14ac:dyDescent="0.2">
      <c r="A1508" s="568"/>
      <c r="B1508" s="616">
        <f>B1495</f>
        <v>2017</v>
      </c>
      <c r="C1508" s="617"/>
      <c r="D1508" s="617"/>
      <c r="E1508" s="618"/>
      <c r="F1508" s="600" t="s">
        <v>447</v>
      </c>
      <c r="G1508" s="600"/>
      <c r="H1508" s="600"/>
      <c r="I1508" s="599" t="s">
        <v>448</v>
      </c>
      <c r="J1508" s="599"/>
      <c r="K1508" s="599"/>
      <c r="L1508" s="600" t="s">
        <v>447</v>
      </c>
      <c r="M1508" s="600"/>
      <c r="N1508" s="600"/>
      <c r="O1508" s="601" t="s">
        <v>448</v>
      </c>
      <c r="P1508" s="601"/>
      <c r="Q1508" s="601"/>
      <c r="R1508" s="564">
        <f>R1495</f>
        <v>2018</v>
      </c>
      <c r="S1508" s="565"/>
      <c r="T1508" s="565"/>
      <c r="U1508" s="566"/>
      <c r="V1508" s="487"/>
      <c r="W1508" s="480"/>
      <c r="X1508" s="480"/>
      <c r="Y1508" s="471" t="s">
        <v>449</v>
      </c>
      <c r="Z1508" s="480"/>
      <c r="AA1508" s="480"/>
      <c r="AB1508" s="480"/>
      <c r="AC1508" s="488" t="s">
        <v>438</v>
      </c>
      <c r="AD1508" s="489"/>
      <c r="AE1508" s="489"/>
      <c r="AF1508" s="489"/>
    </row>
    <row r="1509" spans="1:32" s="16" customFormat="1" ht="26.25" customHeight="1" x14ac:dyDescent="0.2">
      <c r="A1509" s="200" t="str">
        <f>C1503</f>
        <v>Alat Olah Raga Lainnya</v>
      </c>
      <c r="B1509" s="676">
        <f>'[1]4.NERACA'!D126</f>
        <v>0</v>
      </c>
      <c r="C1509" s="677"/>
      <c r="D1509" s="677"/>
      <c r="E1509" s="678"/>
      <c r="F1509" s="676">
        <f>'[1]4.NERACA'!E126</f>
        <v>67045000</v>
      </c>
      <c r="G1509" s="677"/>
      <c r="H1509" s="678"/>
      <c r="I1509" s="679">
        <f>'[1]4.NERACA'!F126</f>
        <v>0</v>
      </c>
      <c r="J1509" s="680"/>
      <c r="K1509" s="681"/>
      <c r="L1509" s="676">
        <f>'[1]4.NERACA'!G126</f>
        <v>0</v>
      </c>
      <c r="M1509" s="677"/>
      <c r="N1509" s="678"/>
      <c r="O1509" s="676">
        <f>'[1]4.NERACA'!H126</f>
        <v>0</v>
      </c>
      <c r="P1509" s="677"/>
      <c r="Q1509" s="678"/>
      <c r="R1509" s="676">
        <f>B1509+F1509-I1509+L1509-O1509</f>
        <v>67045000</v>
      </c>
      <c r="S1509" s="677"/>
      <c r="T1509" s="677"/>
      <c r="U1509" s="678"/>
      <c r="V1509" s="479"/>
      <c r="W1509" s="480"/>
      <c r="X1509" s="480"/>
      <c r="Y1509" s="471">
        <v>0</v>
      </c>
      <c r="Z1509" s="480"/>
      <c r="AA1509" s="480"/>
      <c r="AB1509" s="480"/>
      <c r="AC1509" s="471">
        <f>R1509-B1509</f>
        <v>67045000</v>
      </c>
      <c r="AD1509" s="472"/>
      <c r="AE1509" s="472"/>
      <c r="AF1509" s="472"/>
    </row>
    <row r="1510" spans="1:32" s="16" customFormat="1" ht="15" customHeight="1" x14ac:dyDescent="0.2">
      <c r="A1510" s="11"/>
      <c r="B1510" s="669" t="s">
        <v>461</v>
      </c>
      <c r="C1510" s="669"/>
      <c r="D1510" s="669"/>
      <c r="E1510" s="669"/>
      <c r="F1510" s="669"/>
      <c r="G1510" s="669"/>
      <c r="H1510" s="669"/>
      <c r="I1510" s="669"/>
      <c r="J1510" s="669"/>
      <c r="K1510" s="669"/>
      <c r="L1510" s="669"/>
      <c r="M1510" s="669"/>
      <c r="N1510" s="669"/>
      <c r="O1510" s="669"/>
      <c r="P1510" s="669"/>
      <c r="Q1510" s="669"/>
      <c r="R1510" s="669"/>
      <c r="S1510" s="669"/>
      <c r="T1510" s="669"/>
      <c r="U1510" s="669"/>
      <c r="V1510" s="23"/>
    </row>
    <row r="1511" spans="1:32" s="16" customFormat="1" ht="15" customHeight="1" x14ac:dyDescent="0.2">
      <c r="A1511" s="11"/>
      <c r="B1511" s="125"/>
      <c r="C1511" s="408" t="s">
        <v>462</v>
      </c>
      <c r="D1511" s="408"/>
      <c r="E1511" s="408"/>
      <c r="F1511" s="408"/>
      <c r="G1511" s="408"/>
      <c r="H1511" s="408"/>
      <c r="I1511" s="408"/>
      <c r="J1511" s="408"/>
      <c r="K1511" s="408"/>
      <c r="L1511" s="408"/>
      <c r="M1511" s="408"/>
      <c r="N1511" s="408"/>
      <c r="O1511" s="408"/>
      <c r="P1511" s="408"/>
      <c r="Q1511" s="408"/>
      <c r="R1511" s="408"/>
      <c r="S1511" s="408"/>
      <c r="T1511" s="408"/>
      <c r="U1511" s="408"/>
      <c r="V1511" s="23"/>
    </row>
    <row r="1512" spans="1:32" s="16" customFormat="1" ht="19.5" customHeight="1" x14ac:dyDescent="0.2">
      <c r="A1512" s="11"/>
      <c r="B1512" s="125"/>
      <c r="C1512" s="408" t="str">
        <f>"Mutasi Debet sebesar Rp. "&amp;FIXED(F1509+L1509)&amp;"."</f>
        <v>Mutasi Debet sebesar Rp. 67.045.000,00.</v>
      </c>
      <c r="D1512" s="408"/>
      <c r="E1512" s="408"/>
      <c r="F1512" s="408"/>
      <c r="G1512" s="408"/>
      <c r="H1512" s="408"/>
      <c r="I1512" s="408"/>
      <c r="J1512" s="408"/>
      <c r="K1512" s="408"/>
      <c r="L1512" s="408"/>
      <c r="M1512" s="408"/>
      <c r="N1512" s="408"/>
      <c r="O1512" s="408"/>
      <c r="P1512" s="408"/>
      <c r="Q1512" s="408"/>
      <c r="R1512" s="408"/>
      <c r="S1512" s="408"/>
      <c r="T1512" s="408"/>
      <c r="U1512" s="408"/>
      <c r="V1512" s="23"/>
    </row>
    <row r="1513" spans="1:32" s="16" customFormat="1" ht="15" customHeight="1" x14ac:dyDescent="0.2">
      <c r="A1513" s="11"/>
      <c r="B1513" s="125"/>
      <c r="C1513" s="408" t="s">
        <v>463</v>
      </c>
      <c r="D1513" s="408"/>
      <c r="E1513" s="408"/>
      <c r="F1513" s="408"/>
      <c r="G1513" s="408"/>
      <c r="H1513" s="408"/>
      <c r="I1513" s="408"/>
      <c r="J1513" s="408"/>
      <c r="K1513" s="408"/>
      <c r="L1513" s="408"/>
      <c r="M1513" s="408"/>
      <c r="N1513" s="408"/>
      <c r="O1513" s="408"/>
      <c r="P1513" s="408"/>
      <c r="Q1513" s="408"/>
      <c r="R1513" s="408"/>
      <c r="S1513" s="408"/>
      <c r="T1513" s="408"/>
      <c r="U1513" s="408"/>
      <c r="V1513" s="23"/>
    </row>
    <row r="1514" spans="1:32" s="16" customFormat="1" ht="18" customHeight="1" x14ac:dyDescent="0.2">
      <c r="A1514" s="11"/>
      <c r="B1514" s="203"/>
      <c r="C1514" s="408" t="str">
        <f>"Mutasi Kredit Rp. "&amp;FIXED(I1509+O1509)&amp;"0"</f>
        <v>Mutasi Kredit Rp. 0,000</v>
      </c>
      <c r="D1514" s="408"/>
      <c r="E1514" s="408"/>
      <c r="F1514" s="408"/>
      <c r="G1514" s="408"/>
      <c r="H1514" s="408"/>
      <c r="I1514" s="408"/>
      <c r="J1514" s="408"/>
      <c r="K1514" s="408"/>
      <c r="L1514" s="408"/>
      <c r="M1514" s="408"/>
      <c r="N1514" s="408"/>
      <c r="O1514" s="408"/>
      <c r="P1514" s="408"/>
      <c r="Q1514" s="408"/>
      <c r="R1514" s="408"/>
      <c r="S1514" s="408"/>
      <c r="T1514" s="408"/>
      <c r="U1514" s="408"/>
      <c r="V1514" s="23"/>
    </row>
    <row r="1515" spans="1:32" s="16" customFormat="1" ht="18" customHeight="1" x14ac:dyDescent="0.2">
      <c r="A1515" s="11"/>
      <c r="B1515" s="203"/>
      <c r="C1515" s="37"/>
      <c r="D1515" s="37"/>
      <c r="E1515" s="37"/>
      <c r="F1515" s="37"/>
      <c r="G1515" s="37"/>
      <c r="H1515" s="37"/>
      <c r="I1515" s="37"/>
      <c r="J1515" s="37"/>
      <c r="K1515" s="37"/>
      <c r="L1515" s="37"/>
      <c r="M1515" s="37"/>
      <c r="N1515" s="37"/>
      <c r="O1515" s="37"/>
      <c r="P1515" s="37"/>
      <c r="Q1515" s="37"/>
      <c r="R1515" s="37"/>
      <c r="S1515" s="37"/>
      <c r="T1515" s="37"/>
      <c r="U1515" s="37"/>
      <c r="V1515" s="23"/>
    </row>
    <row r="1516" spans="1:32" s="16" customFormat="1" ht="18" customHeight="1" x14ac:dyDescent="0.2">
      <c r="A1516" s="11"/>
      <c r="B1516" s="203"/>
      <c r="C1516" s="37"/>
      <c r="D1516" s="37"/>
      <c r="E1516" s="37"/>
      <c r="F1516" s="37"/>
      <c r="G1516" s="37"/>
      <c r="H1516" s="37"/>
      <c r="I1516" s="37"/>
      <c r="J1516" s="37"/>
      <c r="K1516" s="37"/>
      <c r="L1516" s="37"/>
      <c r="M1516" s="37"/>
      <c r="N1516" s="37"/>
      <c r="O1516" s="37"/>
      <c r="P1516" s="37"/>
      <c r="Q1516" s="37"/>
      <c r="R1516" s="37"/>
      <c r="S1516" s="37"/>
      <c r="T1516" s="37"/>
      <c r="U1516" s="37"/>
      <c r="V1516" s="23"/>
    </row>
    <row r="1517" spans="1:32" s="16" customFormat="1" ht="15" customHeight="1" x14ac:dyDescent="0.2">
      <c r="A1517" s="11"/>
      <c r="B1517" s="202" t="s">
        <v>325</v>
      </c>
      <c r="C1517" s="402" t="str">
        <f>'[1]4.NERACA'!C127</f>
        <v>Hewan</v>
      </c>
      <c r="D1517" s="402"/>
      <c r="E1517" s="402"/>
      <c r="F1517" s="402"/>
      <c r="G1517" s="402"/>
      <c r="H1517" s="402"/>
      <c r="I1517" s="402"/>
      <c r="J1517" s="402"/>
      <c r="K1517" s="402"/>
      <c r="L1517" s="402"/>
      <c r="M1517" s="402"/>
      <c r="N1517" s="402"/>
      <c r="O1517" s="402"/>
      <c r="P1517" s="402"/>
      <c r="Q1517" s="402"/>
      <c r="R1517" s="402"/>
      <c r="S1517" s="402"/>
      <c r="T1517" s="402"/>
      <c r="U1517" s="402"/>
      <c r="V1517" s="23"/>
    </row>
    <row r="1518" spans="1:32" s="16" customFormat="1" ht="61.5" customHeight="1" x14ac:dyDescent="0.2">
      <c r="A1518" s="11"/>
      <c r="C1518" s="407" t="str">
        <f>"Nilai aset tetap berupa "&amp;C1517&amp;"  per "&amp;'[1]2.ISIAN DATA SKPD'!D8&amp;" dan  "&amp;'[1]2.ISIAN DATA SKPD'!D12&amp;" adalah sebesar Rp. "&amp;FIXED(R1523)&amp;" dan Rp. "&amp;FIXED(B1523)&amp;" tidak mengalami kenaikan/penurunan sebesar Rp "&amp;FIXED(AC1523)&amp;" atau sebesar "&amp;FIXED(Y1523)&amp;"% dari tahun "&amp;'[1]2.ISIAN DATA SKPD'!D12&amp;"."</f>
        <v>Nilai aset tetap berupa Hewan  per 31 Desember 2018 dan  2017 adalah sebesar Rp. 0,00 dan Rp. 0,00 tidak mengalami kenaikan/penurunan sebesar Rp 0,00 atau sebesar 0,00% dari tahun 2017.</v>
      </c>
      <c r="D1518" s="407"/>
      <c r="E1518" s="407"/>
      <c r="F1518" s="407"/>
      <c r="G1518" s="407"/>
      <c r="H1518" s="407"/>
      <c r="I1518" s="407"/>
      <c r="J1518" s="407"/>
      <c r="K1518" s="407"/>
      <c r="L1518" s="407"/>
      <c r="M1518" s="407"/>
      <c r="N1518" s="407"/>
      <c r="O1518" s="407"/>
      <c r="P1518" s="407"/>
      <c r="Q1518" s="407"/>
      <c r="R1518" s="407"/>
      <c r="S1518" s="407"/>
      <c r="T1518" s="407"/>
      <c r="U1518" s="407"/>
      <c r="V1518" s="23"/>
    </row>
    <row r="1519" spans="1:32" s="16" customFormat="1" ht="18.75" customHeight="1" x14ac:dyDescent="0.2">
      <c r="A1519" s="11"/>
      <c r="B1519" s="77"/>
      <c r="C1519" s="407" t="str">
        <f>"Dengan mutasi  selama tahun "&amp;'[1]2.ISIAN DATA SKPD'!D11&amp;" sebagai berikut :"</f>
        <v>Dengan mutasi  selama tahun 2018 sebagai berikut :</v>
      </c>
      <c r="D1519" s="407"/>
      <c r="E1519" s="407"/>
      <c r="F1519" s="407"/>
      <c r="G1519" s="407"/>
      <c r="H1519" s="407"/>
      <c r="I1519" s="407"/>
      <c r="J1519" s="407"/>
      <c r="K1519" s="407"/>
      <c r="L1519" s="407"/>
      <c r="M1519" s="407"/>
      <c r="N1519" s="407"/>
      <c r="O1519" s="407"/>
      <c r="P1519" s="407"/>
      <c r="Q1519" s="407"/>
      <c r="R1519" s="407"/>
      <c r="S1519" s="407"/>
      <c r="T1519" s="407"/>
      <c r="U1519" s="407"/>
      <c r="V1519" s="23"/>
    </row>
    <row r="1520" spans="1:32" s="16" customFormat="1" ht="15" customHeight="1" x14ac:dyDescent="0.2">
      <c r="A1520" s="11"/>
      <c r="B1520" s="77"/>
      <c r="C1520" s="225"/>
      <c r="D1520" s="225"/>
      <c r="E1520" s="225"/>
      <c r="F1520" s="225"/>
      <c r="G1520" s="225"/>
      <c r="H1520" s="225"/>
      <c r="I1520" s="225"/>
      <c r="J1520" s="225"/>
      <c r="K1520" s="225"/>
      <c r="L1520" s="225"/>
      <c r="M1520" s="225"/>
      <c r="N1520" s="225"/>
      <c r="O1520" s="225"/>
      <c r="P1520" s="225"/>
      <c r="Q1520" s="225"/>
      <c r="R1520" s="225"/>
      <c r="S1520" s="225"/>
      <c r="T1520" s="225"/>
      <c r="U1520" s="225"/>
      <c r="V1520" s="23"/>
    </row>
    <row r="1521" spans="1:32" s="16" customFormat="1" ht="15" customHeight="1" x14ac:dyDescent="0.2">
      <c r="A1521" s="567" t="s">
        <v>125</v>
      </c>
      <c r="B1521" s="602" t="s">
        <v>443</v>
      </c>
      <c r="C1521" s="603"/>
      <c r="D1521" s="603"/>
      <c r="E1521" s="604"/>
      <c r="F1521" s="605" t="s">
        <v>444</v>
      </c>
      <c r="G1521" s="605"/>
      <c r="H1521" s="605"/>
      <c r="I1521" s="605"/>
      <c r="J1521" s="605"/>
      <c r="K1521" s="605"/>
      <c r="L1521" s="605" t="s">
        <v>445</v>
      </c>
      <c r="M1521" s="605"/>
      <c r="N1521" s="605"/>
      <c r="O1521" s="605"/>
      <c r="P1521" s="605"/>
      <c r="Q1521" s="605"/>
      <c r="R1521" s="600" t="s">
        <v>446</v>
      </c>
      <c r="S1521" s="600"/>
      <c r="T1521" s="600"/>
      <c r="U1521" s="600"/>
      <c r="V1521" s="23"/>
    </row>
    <row r="1522" spans="1:32" s="16" customFormat="1" ht="15" customHeight="1" x14ac:dyDescent="0.2">
      <c r="A1522" s="568"/>
      <c r="B1522" s="564">
        <f>B1407</f>
        <v>2017</v>
      </c>
      <c r="C1522" s="565"/>
      <c r="D1522" s="565"/>
      <c r="E1522" s="566"/>
      <c r="F1522" s="600" t="s">
        <v>447</v>
      </c>
      <c r="G1522" s="600"/>
      <c r="H1522" s="600"/>
      <c r="I1522" s="599" t="s">
        <v>448</v>
      </c>
      <c r="J1522" s="599"/>
      <c r="K1522" s="599"/>
      <c r="L1522" s="600" t="s">
        <v>447</v>
      </c>
      <c r="M1522" s="600"/>
      <c r="N1522" s="600"/>
      <c r="O1522" s="601" t="s">
        <v>448</v>
      </c>
      <c r="P1522" s="601"/>
      <c r="Q1522" s="601"/>
      <c r="R1522" s="564">
        <f>R1407</f>
        <v>2018</v>
      </c>
      <c r="S1522" s="565"/>
      <c r="T1522" s="565"/>
      <c r="U1522" s="566"/>
      <c r="V1522" s="487"/>
      <c r="W1522" s="480"/>
      <c r="X1522" s="480"/>
      <c r="Y1522" s="471" t="s">
        <v>449</v>
      </c>
      <c r="Z1522" s="480"/>
      <c r="AA1522" s="480"/>
      <c r="AB1522" s="480"/>
      <c r="AC1522" s="488" t="s">
        <v>438</v>
      </c>
      <c r="AD1522" s="489"/>
      <c r="AE1522" s="489"/>
      <c r="AF1522" s="489"/>
    </row>
    <row r="1523" spans="1:32" s="16" customFormat="1" ht="15" customHeight="1" x14ac:dyDescent="0.2">
      <c r="A1523" s="200" t="str">
        <f>C1517</f>
        <v>Hewan</v>
      </c>
      <c r="B1523" s="676">
        <f>'[1]4.NERACA'!D127</f>
        <v>0</v>
      </c>
      <c r="C1523" s="677"/>
      <c r="D1523" s="677"/>
      <c r="E1523" s="678"/>
      <c r="F1523" s="676">
        <f>'[1]4.NERACA'!E127</f>
        <v>0</v>
      </c>
      <c r="G1523" s="677"/>
      <c r="H1523" s="678"/>
      <c r="I1523" s="679">
        <f>'[1]4.NERACA'!F127</f>
        <v>0</v>
      </c>
      <c r="J1523" s="680"/>
      <c r="K1523" s="681"/>
      <c r="L1523" s="676">
        <f>'[1]4.NERACA'!G127</f>
        <v>0</v>
      </c>
      <c r="M1523" s="677"/>
      <c r="N1523" s="678"/>
      <c r="O1523" s="676">
        <f>'[1]4.NERACA'!H127</f>
        <v>0</v>
      </c>
      <c r="P1523" s="677"/>
      <c r="Q1523" s="678"/>
      <c r="R1523" s="676">
        <f>B1523+F1523-I1523+L1523-O1523</f>
        <v>0</v>
      </c>
      <c r="S1523" s="677"/>
      <c r="T1523" s="677"/>
      <c r="U1523" s="678"/>
      <c r="V1523" s="479"/>
      <c r="W1523" s="480"/>
      <c r="X1523" s="480"/>
      <c r="Y1523" s="471">
        <v>0</v>
      </c>
      <c r="Z1523" s="480"/>
      <c r="AA1523" s="480"/>
      <c r="AB1523" s="480"/>
      <c r="AC1523" s="471">
        <f>R1523-B1523</f>
        <v>0</v>
      </c>
      <c r="AD1523" s="472"/>
      <c r="AE1523" s="472"/>
      <c r="AF1523" s="472"/>
    </row>
    <row r="1524" spans="1:32" s="16" customFormat="1" ht="15" customHeight="1" x14ac:dyDescent="0.2">
      <c r="A1524" s="11"/>
      <c r="B1524" s="669" t="s">
        <v>461</v>
      </c>
      <c r="C1524" s="669"/>
      <c r="D1524" s="669"/>
      <c r="E1524" s="669"/>
      <c r="F1524" s="669"/>
      <c r="G1524" s="669"/>
      <c r="H1524" s="669"/>
      <c r="I1524" s="669"/>
      <c r="J1524" s="669"/>
      <c r="K1524" s="669"/>
      <c r="L1524" s="669"/>
      <c r="M1524" s="669"/>
      <c r="N1524" s="669"/>
      <c r="O1524" s="669"/>
      <c r="P1524" s="669"/>
      <c r="Q1524" s="669"/>
      <c r="R1524" s="669"/>
      <c r="S1524" s="669"/>
      <c r="T1524" s="669"/>
      <c r="U1524" s="669"/>
      <c r="V1524" s="23"/>
    </row>
    <row r="1525" spans="1:32" s="16" customFormat="1" ht="15" customHeight="1" x14ac:dyDescent="0.2">
      <c r="A1525" s="11"/>
      <c r="B1525" s="125"/>
      <c r="C1525" s="408" t="s">
        <v>462</v>
      </c>
      <c r="D1525" s="408"/>
      <c r="E1525" s="408"/>
      <c r="F1525" s="408"/>
      <c r="G1525" s="408"/>
      <c r="H1525" s="408"/>
      <c r="I1525" s="408"/>
      <c r="J1525" s="408"/>
      <c r="K1525" s="408"/>
      <c r="L1525" s="408"/>
      <c r="M1525" s="408"/>
      <c r="N1525" s="408"/>
      <c r="O1525" s="408"/>
      <c r="P1525" s="408"/>
      <c r="Q1525" s="408"/>
      <c r="R1525" s="408"/>
      <c r="S1525" s="408"/>
      <c r="T1525" s="408"/>
      <c r="U1525" s="408"/>
      <c r="V1525" s="23"/>
    </row>
    <row r="1526" spans="1:32" s="16" customFormat="1" ht="15.75" customHeight="1" x14ac:dyDescent="0.2">
      <c r="A1526" s="11"/>
      <c r="B1526" s="125"/>
      <c r="C1526" s="408" t="str">
        <f>"Mutasi Debet sebesar Rp. "&amp;FIXED(F1523+L1523)&amp;"0"</f>
        <v>Mutasi Debet sebesar Rp. 0,000</v>
      </c>
      <c r="D1526" s="408"/>
      <c r="E1526" s="408"/>
      <c r="F1526" s="408"/>
      <c r="G1526" s="408"/>
      <c r="H1526" s="408"/>
      <c r="I1526" s="408"/>
      <c r="J1526" s="408"/>
      <c r="K1526" s="408"/>
      <c r="L1526" s="408"/>
      <c r="M1526" s="408"/>
      <c r="N1526" s="408"/>
      <c r="O1526" s="408"/>
      <c r="P1526" s="408"/>
      <c r="Q1526" s="408"/>
      <c r="R1526" s="408"/>
      <c r="S1526" s="408"/>
      <c r="T1526" s="408"/>
      <c r="U1526" s="408"/>
      <c r="V1526" s="23"/>
    </row>
    <row r="1527" spans="1:32" s="16" customFormat="1" ht="15" customHeight="1" x14ac:dyDescent="0.2">
      <c r="A1527" s="11"/>
      <c r="B1527" s="125"/>
      <c r="C1527" s="408" t="s">
        <v>463</v>
      </c>
      <c r="D1527" s="408"/>
      <c r="E1527" s="408"/>
      <c r="F1527" s="408"/>
      <c r="G1527" s="408"/>
      <c r="H1527" s="408"/>
      <c r="I1527" s="408"/>
      <c r="J1527" s="408"/>
      <c r="K1527" s="408"/>
      <c r="L1527" s="408"/>
      <c r="M1527" s="408"/>
      <c r="N1527" s="408"/>
      <c r="O1527" s="408"/>
      <c r="P1527" s="408"/>
      <c r="Q1527" s="408"/>
      <c r="R1527" s="408"/>
      <c r="S1527" s="408"/>
      <c r="T1527" s="408"/>
      <c r="U1527" s="408"/>
      <c r="V1527" s="23"/>
    </row>
    <row r="1528" spans="1:32" s="16" customFormat="1" ht="17.25" customHeight="1" x14ac:dyDescent="0.2">
      <c r="A1528" s="11"/>
      <c r="B1528" s="203"/>
      <c r="C1528" s="408" t="str">
        <f>"Mutasi Kredit Rp. "&amp;FIXED(I1523+O1523)&amp;""</f>
        <v>Mutasi Kredit Rp. 0,00</v>
      </c>
      <c r="D1528" s="408"/>
      <c r="E1528" s="408"/>
      <c r="F1528" s="408"/>
      <c r="G1528" s="408"/>
      <c r="H1528" s="408"/>
      <c r="I1528" s="408"/>
      <c r="J1528" s="408"/>
      <c r="K1528" s="408"/>
      <c r="L1528" s="408"/>
      <c r="M1528" s="408"/>
      <c r="N1528" s="408"/>
      <c r="O1528" s="408"/>
      <c r="P1528" s="408"/>
      <c r="Q1528" s="408"/>
      <c r="R1528" s="408"/>
      <c r="S1528" s="408"/>
      <c r="T1528" s="408"/>
      <c r="U1528" s="408"/>
      <c r="V1528" s="23"/>
    </row>
    <row r="1529" spans="1:32" s="16" customFormat="1" ht="15" customHeight="1" x14ac:dyDescent="0.2">
      <c r="A1529" s="11"/>
      <c r="B1529" s="103"/>
      <c r="C1529" s="103"/>
      <c r="D1529" s="103"/>
      <c r="E1529" s="103"/>
      <c r="F1529" s="103"/>
      <c r="G1529" s="103"/>
      <c r="H1529" s="103"/>
      <c r="I1529" s="103"/>
      <c r="J1529" s="103"/>
      <c r="K1529" s="103"/>
      <c r="L1529" s="103"/>
      <c r="M1529" s="103"/>
      <c r="N1529" s="133"/>
      <c r="O1529" s="133"/>
      <c r="P1529" s="133"/>
      <c r="Q1529" s="133"/>
      <c r="R1529" s="133"/>
      <c r="S1529" s="133"/>
      <c r="T1529" s="133"/>
      <c r="U1529" s="133"/>
      <c r="V1529" s="23"/>
    </row>
    <row r="1530" spans="1:32" s="16" customFormat="1" ht="15" customHeight="1" x14ac:dyDescent="0.2">
      <c r="A1530" s="11"/>
      <c r="B1530" s="202" t="s">
        <v>467</v>
      </c>
      <c r="C1530" s="402" t="str">
        <f>'[1]4.NERACA'!C128</f>
        <v>Tanaman</v>
      </c>
      <c r="D1530" s="402"/>
      <c r="E1530" s="402"/>
      <c r="F1530" s="402"/>
      <c r="G1530" s="402"/>
      <c r="H1530" s="402"/>
      <c r="I1530" s="402"/>
      <c r="J1530" s="402"/>
      <c r="K1530" s="402"/>
      <c r="L1530" s="402"/>
      <c r="M1530" s="402"/>
      <c r="N1530" s="402"/>
      <c r="O1530" s="402"/>
      <c r="P1530" s="402"/>
      <c r="Q1530" s="402"/>
      <c r="R1530" s="402"/>
      <c r="S1530" s="402"/>
      <c r="T1530" s="402"/>
      <c r="U1530" s="402"/>
      <c r="V1530" s="23"/>
    </row>
    <row r="1531" spans="1:32" s="16" customFormat="1" ht="60.75" customHeight="1" x14ac:dyDescent="0.2">
      <c r="A1531" s="11"/>
      <c r="C1531" s="407" t="str">
        <f>"Nilai aset tetap berupa "&amp;C1530&amp;"  per "&amp;'[1]2.ISIAN DATA SKPD'!D8&amp;" dan  "&amp;'[1]2.ISIAN DATA SKPD'!D12&amp;" adalah sebesar Rp. "&amp;FIXED(R1536)&amp;" dan Rp. "&amp;FIXED(B1536)&amp;" tidak mengalami kenaikan/penurunan sebesar Rp. "&amp;FIXED(AC1536)&amp;" atau sebesar "&amp;FIXED(Y1536)&amp;"% dari tahun "&amp;'[1]2.ISIAN DATA SKPD'!D12&amp;"."</f>
        <v>Nilai aset tetap berupa Tanaman  per 31 Desember 2018 dan  2017 adalah sebesar Rp. 0,00 dan Rp. 0,00 tidak mengalami kenaikan/penurunan sebesar Rp. 0,00 atau sebesar 0,00% dari tahun 2017.</v>
      </c>
      <c r="D1531" s="407"/>
      <c r="E1531" s="407"/>
      <c r="F1531" s="407"/>
      <c r="G1531" s="407"/>
      <c r="H1531" s="407"/>
      <c r="I1531" s="407"/>
      <c r="J1531" s="407"/>
      <c r="K1531" s="407"/>
      <c r="L1531" s="407"/>
      <c r="M1531" s="407"/>
      <c r="N1531" s="407"/>
      <c r="O1531" s="407"/>
      <c r="P1531" s="407"/>
      <c r="Q1531" s="407"/>
      <c r="R1531" s="407"/>
      <c r="S1531" s="407"/>
      <c r="T1531" s="407"/>
      <c r="U1531" s="407"/>
      <c r="V1531" s="23"/>
    </row>
    <row r="1532" spans="1:32" s="16" customFormat="1" ht="17.25" customHeight="1" x14ac:dyDescent="0.2">
      <c r="A1532" s="11"/>
      <c r="B1532" s="77"/>
      <c r="C1532" s="407" t="str">
        <f>"Dengan mutasi  selama tahun "&amp;'[1]2.ISIAN DATA SKPD'!D11&amp;" sebagai berikut :"</f>
        <v>Dengan mutasi  selama tahun 2018 sebagai berikut :</v>
      </c>
      <c r="D1532" s="407"/>
      <c r="E1532" s="407"/>
      <c r="F1532" s="407"/>
      <c r="G1532" s="407"/>
      <c r="H1532" s="407"/>
      <c r="I1532" s="407"/>
      <c r="J1532" s="407"/>
      <c r="K1532" s="407"/>
      <c r="L1532" s="407"/>
      <c r="M1532" s="407"/>
      <c r="N1532" s="407"/>
      <c r="O1532" s="407"/>
      <c r="P1532" s="407"/>
      <c r="Q1532" s="407"/>
      <c r="R1532" s="407"/>
      <c r="S1532" s="407"/>
      <c r="T1532" s="407"/>
      <c r="U1532" s="407"/>
      <c r="V1532" s="23"/>
    </row>
    <row r="1533" spans="1:32" s="16" customFormat="1" ht="17.25" customHeight="1" x14ac:dyDescent="0.2">
      <c r="A1533" s="11"/>
      <c r="B1533" s="77"/>
      <c r="C1533" s="77"/>
      <c r="D1533" s="77"/>
      <c r="E1533" s="77"/>
      <c r="F1533" s="77"/>
      <c r="G1533" s="77"/>
      <c r="H1533" s="77"/>
      <c r="I1533" s="77"/>
      <c r="J1533" s="77"/>
      <c r="K1533" s="77"/>
      <c r="L1533" s="77"/>
      <c r="M1533" s="77"/>
      <c r="N1533" s="77"/>
      <c r="O1533" s="77"/>
      <c r="P1533" s="77"/>
      <c r="Q1533" s="77"/>
      <c r="R1533" s="77"/>
      <c r="S1533" s="77"/>
      <c r="T1533" s="77"/>
      <c r="U1533" s="77"/>
      <c r="V1533" s="23"/>
    </row>
    <row r="1534" spans="1:32" s="16" customFormat="1" ht="15" customHeight="1" x14ac:dyDescent="0.2">
      <c r="A1534" s="670" t="s">
        <v>125</v>
      </c>
      <c r="B1534" s="671" t="s">
        <v>443</v>
      </c>
      <c r="C1534" s="672"/>
      <c r="D1534" s="672"/>
      <c r="E1534" s="673"/>
      <c r="F1534" s="674" t="s">
        <v>444</v>
      </c>
      <c r="G1534" s="674"/>
      <c r="H1534" s="674"/>
      <c r="I1534" s="674"/>
      <c r="J1534" s="674"/>
      <c r="K1534" s="674"/>
      <c r="L1534" s="674" t="s">
        <v>445</v>
      </c>
      <c r="M1534" s="674"/>
      <c r="N1534" s="674"/>
      <c r="O1534" s="674"/>
      <c r="P1534" s="674"/>
      <c r="Q1534" s="674"/>
      <c r="R1534" s="675" t="s">
        <v>446</v>
      </c>
      <c r="S1534" s="675"/>
      <c r="T1534" s="675"/>
      <c r="U1534" s="675"/>
      <c r="V1534" s="23"/>
    </row>
    <row r="1535" spans="1:32" s="16" customFormat="1" ht="15" customHeight="1" x14ac:dyDescent="0.2">
      <c r="A1535" s="568"/>
      <c r="B1535" s="616">
        <f>B1407</f>
        <v>2017</v>
      </c>
      <c r="C1535" s="617"/>
      <c r="D1535" s="617"/>
      <c r="E1535" s="618"/>
      <c r="F1535" s="600" t="s">
        <v>447</v>
      </c>
      <c r="G1535" s="600"/>
      <c r="H1535" s="600"/>
      <c r="I1535" s="599" t="s">
        <v>448</v>
      </c>
      <c r="J1535" s="599"/>
      <c r="K1535" s="599"/>
      <c r="L1535" s="600" t="s">
        <v>447</v>
      </c>
      <c r="M1535" s="600"/>
      <c r="N1535" s="600"/>
      <c r="O1535" s="601" t="s">
        <v>448</v>
      </c>
      <c r="P1535" s="601"/>
      <c r="Q1535" s="601"/>
      <c r="R1535" s="616">
        <f>R1407</f>
        <v>2018</v>
      </c>
      <c r="S1535" s="617"/>
      <c r="T1535" s="617"/>
      <c r="U1535" s="618"/>
      <c r="V1535" s="487"/>
      <c r="W1535" s="480"/>
      <c r="X1535" s="480"/>
      <c r="Y1535" s="471" t="s">
        <v>449</v>
      </c>
      <c r="Z1535" s="480"/>
      <c r="AA1535" s="480"/>
      <c r="AB1535" s="480"/>
      <c r="AC1535" s="488" t="s">
        <v>438</v>
      </c>
      <c r="AD1535" s="489"/>
      <c r="AE1535" s="489"/>
      <c r="AF1535" s="489"/>
    </row>
    <row r="1536" spans="1:32" s="16" customFormat="1" ht="15" customHeight="1" x14ac:dyDescent="0.2">
      <c r="A1536" s="200" t="str">
        <f>C1530</f>
        <v>Tanaman</v>
      </c>
      <c r="B1536" s="650">
        <f>'[1]4.NERACA'!D128</f>
        <v>0</v>
      </c>
      <c r="C1536" s="651"/>
      <c r="D1536" s="651"/>
      <c r="E1536" s="652"/>
      <c r="F1536" s="650">
        <f>'[1]4.NERACA'!E128</f>
        <v>0</v>
      </c>
      <c r="G1536" s="651"/>
      <c r="H1536" s="652"/>
      <c r="I1536" s="666">
        <f>'[1]4.NERACA'!F128</f>
        <v>0</v>
      </c>
      <c r="J1536" s="667"/>
      <c r="K1536" s="668"/>
      <c r="L1536" s="650">
        <f>'[1]4.NERACA'!G128</f>
        <v>0</v>
      </c>
      <c r="M1536" s="651"/>
      <c r="N1536" s="652"/>
      <c r="O1536" s="650">
        <f>'[1]4.NERACA'!H128</f>
        <v>0</v>
      </c>
      <c r="P1536" s="651"/>
      <c r="Q1536" s="652"/>
      <c r="R1536" s="650">
        <f>B1536+F1536-I1536+L1536-O1536</f>
        <v>0</v>
      </c>
      <c r="S1536" s="651"/>
      <c r="T1536" s="651"/>
      <c r="U1536" s="652"/>
      <c r="V1536" s="479"/>
      <c r="W1536" s="480"/>
      <c r="X1536" s="480"/>
      <c r="Y1536" s="471">
        <v>0</v>
      </c>
      <c r="Z1536" s="480"/>
      <c r="AA1536" s="480"/>
      <c r="AB1536" s="480"/>
      <c r="AC1536" s="471">
        <f>R1536-B1536</f>
        <v>0</v>
      </c>
      <c r="AD1536" s="472"/>
      <c r="AE1536" s="472"/>
      <c r="AF1536" s="472"/>
    </row>
    <row r="1537" spans="1:32" s="16" customFormat="1" ht="15" customHeight="1" x14ac:dyDescent="0.2">
      <c r="A1537" s="11"/>
      <c r="B1537" s="669" t="s">
        <v>461</v>
      </c>
      <c r="C1537" s="669"/>
      <c r="D1537" s="669"/>
      <c r="E1537" s="669"/>
      <c r="F1537" s="669"/>
      <c r="G1537" s="669"/>
      <c r="H1537" s="669"/>
      <c r="I1537" s="669"/>
      <c r="J1537" s="669"/>
      <c r="K1537" s="669"/>
      <c r="L1537" s="669"/>
      <c r="M1537" s="669"/>
      <c r="N1537" s="669"/>
      <c r="O1537" s="669"/>
      <c r="P1537" s="669"/>
      <c r="Q1537" s="669"/>
      <c r="R1537" s="669"/>
      <c r="S1537" s="669"/>
      <c r="T1537" s="669"/>
      <c r="U1537" s="669"/>
      <c r="V1537" s="23"/>
    </row>
    <row r="1538" spans="1:32" s="16" customFormat="1" ht="15" customHeight="1" x14ac:dyDescent="0.2">
      <c r="A1538" s="11"/>
      <c r="B1538" s="125"/>
      <c r="C1538" s="408" t="s">
        <v>462</v>
      </c>
      <c r="D1538" s="408"/>
      <c r="E1538" s="408"/>
      <c r="F1538" s="408"/>
      <c r="G1538" s="408"/>
      <c r="H1538" s="408"/>
      <c r="I1538" s="408"/>
      <c r="J1538" s="408"/>
      <c r="K1538" s="408"/>
      <c r="L1538" s="408"/>
      <c r="M1538" s="408"/>
      <c r="N1538" s="408"/>
      <c r="O1538" s="408"/>
      <c r="P1538" s="408"/>
      <c r="Q1538" s="408"/>
      <c r="R1538" s="408"/>
      <c r="S1538" s="408"/>
      <c r="T1538" s="408"/>
      <c r="U1538" s="408"/>
      <c r="V1538" s="23"/>
    </row>
    <row r="1539" spans="1:32" s="16" customFormat="1" ht="17.25" customHeight="1" x14ac:dyDescent="0.2">
      <c r="A1539" s="11"/>
      <c r="B1539" s="125"/>
      <c r="C1539" s="408" t="str">
        <f>"Mutasi Debet sebesar Rp. "&amp;FIXED(F1536+L1536)&amp;"0"</f>
        <v>Mutasi Debet sebesar Rp. 0,000</v>
      </c>
      <c r="D1539" s="408"/>
      <c r="E1539" s="408"/>
      <c r="F1539" s="408"/>
      <c r="G1539" s="408"/>
      <c r="H1539" s="408"/>
      <c r="I1539" s="408"/>
      <c r="J1539" s="408"/>
      <c r="K1539" s="408"/>
      <c r="L1539" s="408"/>
      <c r="M1539" s="408"/>
      <c r="N1539" s="408"/>
      <c r="O1539" s="408"/>
      <c r="P1539" s="408"/>
      <c r="Q1539" s="408"/>
      <c r="R1539" s="408"/>
      <c r="S1539" s="408"/>
      <c r="T1539" s="408"/>
      <c r="U1539" s="408"/>
      <c r="V1539" s="23"/>
    </row>
    <row r="1540" spans="1:32" s="16" customFormat="1" ht="15" customHeight="1" x14ac:dyDescent="0.2">
      <c r="A1540" s="11"/>
      <c r="B1540" s="125"/>
      <c r="C1540" s="408" t="s">
        <v>463</v>
      </c>
      <c r="D1540" s="408"/>
      <c r="E1540" s="408"/>
      <c r="F1540" s="408"/>
      <c r="G1540" s="408"/>
      <c r="H1540" s="408"/>
      <c r="I1540" s="408"/>
      <c r="J1540" s="408"/>
      <c r="K1540" s="408"/>
      <c r="L1540" s="408"/>
      <c r="M1540" s="408"/>
      <c r="N1540" s="408"/>
      <c r="O1540" s="408"/>
      <c r="P1540" s="408"/>
      <c r="Q1540" s="408"/>
      <c r="R1540" s="408"/>
      <c r="S1540" s="408"/>
      <c r="T1540" s="408"/>
      <c r="U1540" s="408"/>
      <c r="V1540" s="23"/>
    </row>
    <row r="1541" spans="1:32" s="16" customFormat="1" ht="16.5" customHeight="1" x14ac:dyDescent="0.2">
      <c r="A1541" s="11"/>
      <c r="B1541" s="203"/>
      <c r="C1541" s="408" t="str">
        <f>"Mutasi Kredit Rp. "&amp;FIXED(I1536+O1536)&amp;"0"</f>
        <v>Mutasi Kredit Rp. 0,000</v>
      </c>
      <c r="D1541" s="408"/>
      <c r="E1541" s="408"/>
      <c r="F1541" s="408"/>
      <c r="G1541" s="408"/>
      <c r="H1541" s="408"/>
      <c r="I1541" s="408"/>
      <c r="J1541" s="408"/>
      <c r="K1541" s="408"/>
      <c r="L1541" s="408"/>
      <c r="M1541" s="408"/>
      <c r="N1541" s="408"/>
      <c r="O1541" s="408"/>
      <c r="P1541" s="408"/>
      <c r="Q1541" s="408"/>
      <c r="R1541" s="408"/>
      <c r="S1541" s="408"/>
      <c r="T1541" s="408"/>
      <c r="U1541" s="408"/>
      <c r="V1541" s="23"/>
    </row>
    <row r="1542" spans="1:32" s="16" customFormat="1" ht="15" customHeight="1" x14ac:dyDescent="0.2">
      <c r="A1542" s="11"/>
      <c r="B1542" s="103"/>
      <c r="C1542" s="103"/>
      <c r="D1542" s="103"/>
      <c r="E1542" s="103"/>
      <c r="F1542" s="103"/>
      <c r="G1542" s="103"/>
      <c r="H1542" s="103"/>
      <c r="I1542" s="103"/>
      <c r="J1542" s="103"/>
      <c r="K1542" s="103"/>
      <c r="L1542" s="103"/>
      <c r="M1542" s="103"/>
      <c r="N1542" s="133"/>
      <c r="O1542" s="133"/>
      <c r="P1542" s="133"/>
      <c r="Q1542" s="133"/>
      <c r="R1542" s="133"/>
      <c r="S1542" s="133"/>
      <c r="T1542" s="133"/>
      <c r="U1542" s="133"/>
      <c r="V1542" s="23"/>
    </row>
    <row r="1543" spans="1:32" s="16" customFormat="1" ht="15" customHeight="1" x14ac:dyDescent="0.2">
      <c r="A1543" s="11"/>
      <c r="B1543" s="202" t="s">
        <v>469</v>
      </c>
      <c r="C1543" s="402" t="str">
        <f>'[1]4.NERACA'!C129</f>
        <v>Aset Tetap Renovasi</v>
      </c>
      <c r="D1543" s="402"/>
      <c r="E1543" s="402"/>
      <c r="F1543" s="402"/>
      <c r="G1543" s="402"/>
      <c r="H1543" s="402"/>
      <c r="I1543" s="402"/>
      <c r="J1543" s="402"/>
      <c r="K1543" s="402"/>
      <c r="L1543" s="402"/>
      <c r="M1543" s="402"/>
      <c r="N1543" s="402"/>
      <c r="O1543" s="402"/>
      <c r="P1543" s="402"/>
      <c r="Q1543" s="402"/>
      <c r="R1543" s="402"/>
      <c r="S1543" s="402"/>
      <c r="T1543" s="402"/>
      <c r="U1543" s="402"/>
      <c r="V1543" s="23"/>
    </row>
    <row r="1544" spans="1:32" s="16" customFormat="1" ht="59.25" customHeight="1" x14ac:dyDescent="0.2">
      <c r="A1544" s="11"/>
      <c r="C1544" s="407" t="str">
        <f>"Nilai aset tetap berupa "&amp;C1543&amp;"  per "&amp;'[1]2.ISIAN DATA SKPD'!D8&amp;" dan  "&amp;'[1]2.ISIAN DATA SKPD'!D12&amp;" adalah sebesar Rp. "&amp;FIXED(R1549)&amp;" dan Rp. "&amp;FIXED(B1549)&amp;" tidakmengalami kenaikan/penurunan sebesar Rp. "&amp;FIXED(AC1549)&amp;" atau sebesar "&amp;FIXED(Y1549)&amp;"% dari tahun "&amp;'[1]2.ISIAN DATA SKPD'!D12&amp;"."</f>
        <v>Nilai aset tetap berupa Aset Tetap Renovasi  per 31 Desember 2018 dan  2017 adalah sebesar Rp. 98.935.000,00 dan Rp. 98.935.000,00 tidakmengalami kenaikan/penurunan sebesar Rp. 0,00 atau sebesar 0,00% dari tahun 2017.</v>
      </c>
      <c r="D1544" s="407"/>
      <c r="E1544" s="407"/>
      <c r="F1544" s="407"/>
      <c r="G1544" s="407"/>
      <c r="H1544" s="407"/>
      <c r="I1544" s="407"/>
      <c r="J1544" s="407"/>
      <c r="K1544" s="407"/>
      <c r="L1544" s="407"/>
      <c r="M1544" s="407"/>
      <c r="N1544" s="407"/>
      <c r="O1544" s="407"/>
      <c r="P1544" s="407"/>
      <c r="Q1544" s="407"/>
      <c r="R1544" s="407"/>
      <c r="S1544" s="407"/>
      <c r="T1544" s="407"/>
      <c r="U1544" s="407"/>
      <c r="V1544" s="23"/>
    </row>
    <row r="1545" spans="1:32" s="16" customFormat="1" ht="16.5" customHeight="1" x14ac:dyDescent="0.2">
      <c r="A1545" s="11"/>
      <c r="B1545" s="77"/>
      <c r="C1545" s="407" t="str">
        <f>"Dengan mutasi  selama tahun "&amp;'[1]2.ISIAN DATA SKPD'!D11&amp;" sebagai berikut :"</f>
        <v>Dengan mutasi  selama tahun 2018 sebagai berikut :</v>
      </c>
      <c r="D1545" s="407"/>
      <c r="E1545" s="407"/>
      <c r="F1545" s="407"/>
      <c r="G1545" s="407"/>
      <c r="H1545" s="407"/>
      <c r="I1545" s="407"/>
      <c r="J1545" s="407"/>
      <c r="K1545" s="407"/>
      <c r="L1545" s="407"/>
      <c r="M1545" s="407"/>
      <c r="N1545" s="407"/>
      <c r="O1545" s="407"/>
      <c r="P1545" s="407"/>
      <c r="Q1545" s="407"/>
      <c r="R1545" s="407"/>
      <c r="S1545" s="407"/>
      <c r="T1545" s="407"/>
      <c r="U1545" s="407"/>
      <c r="V1545" s="23"/>
    </row>
    <row r="1546" spans="1:32" s="16" customFormat="1" ht="17.25" customHeight="1" x14ac:dyDescent="0.2">
      <c r="A1546" s="11"/>
      <c r="B1546" s="77"/>
      <c r="C1546" s="225"/>
      <c r="D1546" s="225"/>
      <c r="E1546" s="225"/>
      <c r="F1546" s="225"/>
      <c r="G1546" s="225"/>
      <c r="H1546" s="225"/>
      <c r="I1546" s="225"/>
      <c r="J1546" s="225"/>
      <c r="K1546" s="225"/>
      <c r="L1546" s="225"/>
      <c r="M1546" s="225"/>
      <c r="N1546" s="225"/>
      <c r="O1546" s="225"/>
      <c r="P1546" s="225"/>
      <c r="Q1546" s="225"/>
      <c r="R1546" s="225"/>
      <c r="S1546" s="225"/>
      <c r="T1546" s="225"/>
      <c r="U1546" s="225"/>
      <c r="V1546" s="23"/>
    </row>
    <row r="1547" spans="1:32" s="16" customFormat="1" ht="15" customHeight="1" x14ac:dyDescent="0.2">
      <c r="A1547" s="567" t="s">
        <v>125</v>
      </c>
      <c r="B1547" s="602" t="s">
        <v>443</v>
      </c>
      <c r="C1547" s="603"/>
      <c r="D1547" s="603"/>
      <c r="E1547" s="604"/>
      <c r="F1547" s="605" t="s">
        <v>444</v>
      </c>
      <c r="G1547" s="605"/>
      <c r="H1547" s="605"/>
      <c r="I1547" s="605"/>
      <c r="J1547" s="605"/>
      <c r="K1547" s="605"/>
      <c r="L1547" s="605" t="s">
        <v>445</v>
      </c>
      <c r="M1547" s="605"/>
      <c r="N1547" s="605"/>
      <c r="O1547" s="605"/>
      <c r="P1547" s="605"/>
      <c r="Q1547" s="605"/>
      <c r="R1547" s="600" t="s">
        <v>446</v>
      </c>
      <c r="S1547" s="600"/>
      <c r="T1547" s="600"/>
      <c r="U1547" s="600"/>
      <c r="V1547" s="23"/>
    </row>
    <row r="1548" spans="1:32" s="16" customFormat="1" ht="15" customHeight="1" x14ac:dyDescent="0.2">
      <c r="A1548" s="568"/>
      <c r="B1548" s="616">
        <f>B1535</f>
        <v>2017</v>
      </c>
      <c r="C1548" s="617"/>
      <c r="D1548" s="617"/>
      <c r="E1548" s="618"/>
      <c r="F1548" s="600" t="s">
        <v>447</v>
      </c>
      <c r="G1548" s="600"/>
      <c r="H1548" s="600"/>
      <c r="I1548" s="599" t="s">
        <v>448</v>
      </c>
      <c r="J1548" s="599"/>
      <c r="K1548" s="599"/>
      <c r="L1548" s="600" t="s">
        <v>447</v>
      </c>
      <c r="M1548" s="600"/>
      <c r="N1548" s="600"/>
      <c r="O1548" s="601" t="s">
        <v>448</v>
      </c>
      <c r="P1548" s="601"/>
      <c r="Q1548" s="601"/>
      <c r="R1548" s="616">
        <f>R1535</f>
        <v>2018</v>
      </c>
      <c r="S1548" s="617"/>
      <c r="T1548" s="617"/>
      <c r="U1548" s="618"/>
      <c r="V1548" s="487"/>
      <c r="W1548" s="480"/>
      <c r="X1548" s="480"/>
      <c r="Y1548" s="471" t="s">
        <v>449</v>
      </c>
      <c r="Z1548" s="480"/>
      <c r="AA1548" s="480"/>
      <c r="AB1548" s="480"/>
      <c r="AC1548" s="488" t="s">
        <v>438</v>
      </c>
      <c r="AD1548" s="489"/>
      <c r="AE1548" s="489"/>
      <c r="AF1548" s="489"/>
    </row>
    <row r="1549" spans="1:32" s="16" customFormat="1" ht="29.25" customHeight="1" x14ac:dyDescent="0.2">
      <c r="A1549" s="200" t="str">
        <f>C1543</f>
        <v>Aset Tetap Renovasi</v>
      </c>
      <c r="B1549" s="650">
        <f>'[1]4.NERACA'!D129</f>
        <v>98935000</v>
      </c>
      <c r="C1549" s="651"/>
      <c r="D1549" s="651"/>
      <c r="E1549" s="652"/>
      <c r="F1549" s="650">
        <f>'[1]4.NERACA'!E129</f>
        <v>0</v>
      </c>
      <c r="G1549" s="651"/>
      <c r="H1549" s="652"/>
      <c r="I1549" s="666">
        <f>'[1]4.NERACA'!F129</f>
        <v>0</v>
      </c>
      <c r="J1549" s="667"/>
      <c r="K1549" s="668"/>
      <c r="L1549" s="650">
        <f>'[1]4.NERACA'!G129</f>
        <v>0</v>
      </c>
      <c r="M1549" s="651"/>
      <c r="N1549" s="652"/>
      <c r="O1549" s="650">
        <f>'[1]4.NERACA'!H129</f>
        <v>0</v>
      </c>
      <c r="P1549" s="651"/>
      <c r="Q1549" s="652"/>
      <c r="R1549" s="650">
        <f>B1549+F1549-I1549+L1549-O1549</f>
        <v>98935000</v>
      </c>
      <c r="S1549" s="651"/>
      <c r="T1549" s="651"/>
      <c r="U1549" s="652"/>
      <c r="V1549" s="479"/>
      <c r="W1549" s="480"/>
      <c r="X1549" s="480"/>
      <c r="Y1549" s="471">
        <f>(R1549-B1549)/B1549*100</f>
        <v>0</v>
      </c>
      <c r="Z1549" s="480"/>
      <c r="AA1549" s="480"/>
      <c r="AB1549" s="480"/>
      <c r="AC1549" s="471">
        <f>R1549-B1549</f>
        <v>0</v>
      </c>
      <c r="AD1549" s="472"/>
      <c r="AE1549" s="472"/>
      <c r="AF1549" s="472"/>
    </row>
    <row r="1550" spans="1:32" s="16" customFormat="1" ht="29.25" customHeight="1" x14ac:dyDescent="0.2">
      <c r="A1550" s="11"/>
      <c r="B1550" s="226"/>
      <c r="C1550" s="226"/>
      <c r="D1550" s="226"/>
      <c r="E1550" s="226"/>
      <c r="F1550" s="226"/>
      <c r="G1550" s="226"/>
      <c r="H1550" s="226"/>
      <c r="I1550" s="226"/>
      <c r="J1550" s="226"/>
      <c r="K1550" s="226"/>
      <c r="L1550" s="226"/>
      <c r="M1550" s="226"/>
      <c r="N1550" s="226"/>
      <c r="O1550" s="226"/>
      <c r="P1550" s="226"/>
      <c r="Q1550" s="226"/>
      <c r="R1550" s="226"/>
      <c r="S1550" s="226"/>
      <c r="T1550" s="226"/>
      <c r="U1550" s="226"/>
      <c r="V1550" s="112"/>
      <c r="W1550" s="211"/>
      <c r="X1550" s="211"/>
      <c r="Y1550" s="113"/>
      <c r="Z1550" s="211"/>
      <c r="AA1550" s="211"/>
      <c r="AB1550" s="211"/>
      <c r="AC1550" s="113"/>
      <c r="AD1550" s="114"/>
      <c r="AE1550" s="114"/>
      <c r="AF1550" s="114"/>
    </row>
    <row r="1551" spans="1:32" s="16" customFormat="1" ht="29.25" customHeight="1" x14ac:dyDescent="0.2">
      <c r="A1551" s="11"/>
      <c r="B1551" s="230"/>
      <c r="C1551" s="230"/>
      <c r="D1551" s="230"/>
      <c r="E1551" s="230"/>
      <c r="F1551" s="230"/>
      <c r="G1551" s="230"/>
      <c r="H1551" s="230"/>
      <c r="I1551" s="230"/>
      <c r="J1551" s="230"/>
      <c r="K1551" s="230"/>
      <c r="L1551" s="230"/>
      <c r="M1551" s="230"/>
      <c r="N1551" s="230"/>
      <c r="O1551" s="230"/>
      <c r="P1551" s="230"/>
      <c r="Q1551" s="230"/>
      <c r="R1551" s="230"/>
      <c r="S1551" s="230"/>
      <c r="T1551" s="230"/>
      <c r="U1551" s="230"/>
      <c r="V1551" s="112"/>
      <c r="W1551" s="211"/>
      <c r="X1551" s="211"/>
      <c r="Y1551" s="113"/>
      <c r="Z1551" s="211"/>
      <c r="AA1551" s="211"/>
      <c r="AB1551" s="211"/>
      <c r="AC1551" s="113"/>
      <c r="AD1551" s="114"/>
      <c r="AE1551" s="114"/>
      <c r="AF1551" s="114"/>
    </row>
    <row r="1552" spans="1:32" s="16" customFormat="1" ht="29.25" customHeight="1" x14ac:dyDescent="0.2">
      <c r="A1552" s="11"/>
      <c r="B1552" s="230"/>
      <c r="C1552" s="230"/>
      <c r="D1552" s="230"/>
      <c r="E1552" s="230"/>
      <c r="F1552" s="230"/>
      <c r="G1552" s="230"/>
      <c r="H1552" s="230"/>
      <c r="I1552" s="230"/>
      <c r="J1552" s="230"/>
      <c r="K1552" s="230"/>
      <c r="L1552" s="230"/>
      <c r="M1552" s="230"/>
      <c r="N1552" s="230"/>
      <c r="O1552" s="230"/>
      <c r="P1552" s="230"/>
      <c r="Q1552" s="230"/>
      <c r="R1552" s="230"/>
      <c r="S1552" s="230"/>
      <c r="T1552" s="230"/>
      <c r="U1552" s="230"/>
      <c r="V1552" s="112"/>
      <c r="W1552" s="211"/>
      <c r="X1552" s="211"/>
      <c r="Y1552" s="113"/>
      <c r="Z1552" s="211"/>
      <c r="AA1552" s="211"/>
      <c r="AB1552" s="211"/>
      <c r="AC1552" s="113"/>
      <c r="AD1552" s="114"/>
      <c r="AE1552" s="114"/>
      <c r="AF1552" s="114"/>
    </row>
    <row r="1553" spans="1:32" s="16" customFormat="1" ht="12" customHeight="1" x14ac:dyDescent="0.2">
      <c r="A1553" s="11"/>
      <c r="B1553" s="230"/>
      <c r="C1553" s="230"/>
      <c r="D1553" s="230"/>
      <c r="E1553" s="230"/>
      <c r="F1553" s="230"/>
      <c r="G1553" s="230"/>
      <c r="H1553" s="230"/>
      <c r="I1553" s="230"/>
      <c r="J1553" s="230"/>
      <c r="K1553" s="230"/>
      <c r="L1553" s="230"/>
      <c r="M1553" s="230"/>
      <c r="N1553" s="230"/>
      <c r="O1553" s="230"/>
      <c r="P1553" s="230"/>
      <c r="Q1553" s="230"/>
      <c r="R1553" s="230"/>
      <c r="S1553" s="230"/>
      <c r="T1553" s="230"/>
      <c r="U1553" s="230"/>
      <c r="V1553" s="112"/>
      <c r="W1553" s="211"/>
      <c r="X1553" s="211"/>
      <c r="Y1553" s="113"/>
      <c r="Z1553" s="211"/>
      <c r="AA1553" s="211"/>
      <c r="AB1553" s="211"/>
      <c r="AC1553" s="113"/>
      <c r="AD1553" s="114"/>
      <c r="AE1553" s="114"/>
      <c r="AF1553" s="114"/>
    </row>
    <row r="1554" spans="1:32" s="16" customFormat="1" ht="10.5" customHeight="1" x14ac:dyDescent="0.2">
      <c r="A1554" s="11"/>
      <c r="B1554" s="230"/>
      <c r="C1554" s="230"/>
      <c r="D1554" s="230"/>
      <c r="E1554" s="230"/>
      <c r="F1554" s="230"/>
      <c r="G1554" s="230"/>
      <c r="H1554" s="230"/>
      <c r="I1554" s="230"/>
      <c r="J1554" s="230"/>
      <c r="K1554" s="230"/>
      <c r="L1554" s="230"/>
      <c r="M1554" s="230"/>
      <c r="N1554" s="230"/>
      <c r="O1554" s="230"/>
      <c r="P1554" s="230"/>
      <c r="Q1554" s="230"/>
      <c r="R1554" s="230"/>
      <c r="S1554" s="230"/>
      <c r="T1554" s="230"/>
      <c r="U1554" s="230"/>
      <c r="V1554" s="112"/>
      <c r="W1554" s="211"/>
      <c r="X1554" s="211"/>
      <c r="Y1554" s="113"/>
      <c r="Z1554" s="211"/>
      <c r="AA1554" s="211"/>
      <c r="AB1554" s="211"/>
      <c r="AC1554" s="113"/>
      <c r="AD1554" s="114"/>
      <c r="AE1554" s="114"/>
      <c r="AF1554" s="114"/>
    </row>
    <row r="1555" spans="1:32" s="16" customFormat="1" ht="15" customHeight="1" x14ac:dyDescent="0.2">
      <c r="A1555" s="11"/>
      <c r="B1555" s="408" t="s">
        <v>461</v>
      </c>
      <c r="C1555" s="408"/>
      <c r="D1555" s="408"/>
      <c r="E1555" s="408"/>
      <c r="F1555" s="408"/>
      <c r="G1555" s="408"/>
      <c r="H1555" s="408"/>
      <c r="I1555" s="408"/>
      <c r="J1555" s="408"/>
      <c r="K1555" s="408"/>
      <c r="L1555" s="408"/>
      <c r="M1555" s="408"/>
      <c r="N1555" s="408"/>
      <c r="O1555" s="408"/>
      <c r="P1555" s="408"/>
      <c r="Q1555" s="408"/>
      <c r="R1555" s="408"/>
      <c r="S1555" s="408"/>
      <c r="T1555" s="408"/>
      <c r="U1555" s="408"/>
      <c r="V1555" s="23"/>
    </row>
    <row r="1556" spans="1:32" s="16" customFormat="1" ht="15" customHeight="1" x14ac:dyDescent="0.2">
      <c r="A1556" s="11"/>
      <c r="B1556" s="125"/>
      <c r="C1556" s="408" t="s">
        <v>462</v>
      </c>
      <c r="D1556" s="408"/>
      <c r="E1556" s="408"/>
      <c r="F1556" s="408"/>
      <c r="G1556" s="408"/>
      <c r="H1556" s="408"/>
      <c r="I1556" s="408"/>
      <c r="J1556" s="408"/>
      <c r="K1556" s="408"/>
      <c r="L1556" s="408"/>
      <c r="M1556" s="408"/>
      <c r="N1556" s="408"/>
      <c r="O1556" s="408"/>
      <c r="P1556" s="408"/>
      <c r="Q1556" s="408"/>
      <c r="R1556" s="408"/>
      <c r="S1556" s="408"/>
      <c r="T1556" s="408"/>
      <c r="U1556" s="408"/>
      <c r="V1556" s="23"/>
    </row>
    <row r="1557" spans="1:32" s="16" customFormat="1" ht="18.75" customHeight="1" x14ac:dyDescent="0.2">
      <c r="A1557" s="11"/>
      <c r="B1557" s="125"/>
      <c r="C1557" s="408" t="str">
        <f>"Mutasi Debet sebesar Rp. "&amp;FIXED(F1549+L1549)&amp;" ."</f>
        <v>Mutasi Debet sebesar Rp. 0,00 .</v>
      </c>
      <c r="D1557" s="408"/>
      <c r="E1557" s="408"/>
      <c r="F1557" s="408"/>
      <c r="G1557" s="408"/>
      <c r="H1557" s="408"/>
      <c r="I1557" s="408"/>
      <c r="J1557" s="408"/>
      <c r="K1557" s="408"/>
      <c r="L1557" s="408"/>
      <c r="M1557" s="408"/>
      <c r="N1557" s="408"/>
      <c r="O1557" s="408"/>
      <c r="P1557" s="408"/>
      <c r="Q1557" s="408"/>
      <c r="R1557" s="408"/>
      <c r="S1557" s="408"/>
      <c r="T1557" s="408"/>
      <c r="U1557" s="408"/>
      <c r="V1557" s="23"/>
    </row>
    <row r="1558" spans="1:32" s="16" customFormat="1" ht="22.5" customHeight="1" x14ac:dyDescent="0.2">
      <c r="A1558" s="11"/>
      <c r="B1558" s="125"/>
      <c r="C1558" s="408" t="s">
        <v>463</v>
      </c>
      <c r="D1558" s="408"/>
      <c r="E1558" s="408"/>
      <c r="F1558" s="408"/>
      <c r="G1558" s="408"/>
      <c r="H1558" s="408"/>
      <c r="I1558" s="408"/>
      <c r="J1558" s="408"/>
      <c r="K1558" s="408"/>
      <c r="L1558" s="408"/>
      <c r="M1558" s="408"/>
      <c r="N1558" s="408"/>
      <c r="O1558" s="408"/>
      <c r="P1558" s="408"/>
      <c r="Q1558" s="408"/>
      <c r="R1558" s="408"/>
      <c r="S1558" s="408"/>
      <c r="T1558" s="408"/>
      <c r="U1558" s="408"/>
      <c r="V1558" s="23"/>
    </row>
    <row r="1559" spans="1:32" s="16" customFormat="1" ht="18" customHeight="1" x14ac:dyDescent="0.2">
      <c r="A1559" s="11"/>
      <c r="B1559" s="203"/>
      <c r="C1559" s="408" t="str">
        <f>"Mutasi Kredit Rp. "&amp;FIXED(I1549+O1549)&amp;"0"</f>
        <v>Mutasi Kredit Rp. 0,000</v>
      </c>
      <c r="D1559" s="408"/>
      <c r="E1559" s="408"/>
      <c r="F1559" s="408"/>
      <c r="G1559" s="408"/>
      <c r="H1559" s="408"/>
      <c r="I1559" s="408"/>
      <c r="J1559" s="408"/>
      <c r="K1559" s="408"/>
      <c r="L1559" s="408"/>
      <c r="M1559" s="408"/>
      <c r="N1559" s="408"/>
      <c r="O1559" s="408"/>
      <c r="P1559" s="408"/>
      <c r="Q1559" s="408"/>
      <c r="R1559" s="408"/>
      <c r="S1559" s="408"/>
      <c r="T1559" s="408"/>
      <c r="U1559" s="408"/>
      <c r="V1559" s="23"/>
    </row>
    <row r="1560" spans="1:32" s="16" customFormat="1" ht="11.25" customHeight="1" x14ac:dyDescent="0.2">
      <c r="A1560" s="11"/>
      <c r="B1560" s="103"/>
      <c r="C1560" s="103"/>
      <c r="D1560" s="103"/>
      <c r="E1560" s="103"/>
      <c r="F1560" s="103"/>
      <c r="G1560" s="103"/>
      <c r="H1560" s="103"/>
      <c r="I1560" s="103"/>
      <c r="J1560" s="103"/>
      <c r="K1560" s="103"/>
      <c r="L1560" s="103"/>
      <c r="M1560" s="103"/>
      <c r="N1560" s="133"/>
      <c r="O1560" s="133"/>
      <c r="P1560" s="133"/>
      <c r="Q1560" s="133"/>
      <c r="R1560" s="133"/>
      <c r="S1560" s="133"/>
      <c r="T1560" s="133"/>
      <c r="U1560" s="133"/>
      <c r="V1560" s="23"/>
    </row>
    <row r="1561" spans="1:32" s="16" customFormat="1" ht="15" customHeight="1" x14ac:dyDescent="0.2">
      <c r="A1561" s="11"/>
      <c r="B1561" s="407" t="s">
        <v>486</v>
      </c>
      <c r="C1561" s="407"/>
      <c r="D1561" s="407"/>
      <c r="E1561" s="407"/>
      <c r="F1561" s="407"/>
      <c r="G1561" s="407"/>
      <c r="H1561" s="407"/>
      <c r="I1561" s="407"/>
      <c r="J1561" s="407"/>
      <c r="K1561" s="407"/>
      <c r="L1561" s="407"/>
      <c r="M1561" s="407"/>
      <c r="N1561" s="407"/>
      <c r="O1561" s="407"/>
      <c r="P1561" s="407"/>
      <c r="Q1561" s="407"/>
      <c r="R1561" s="407"/>
      <c r="S1561" s="407"/>
      <c r="T1561" s="407"/>
      <c r="U1561" s="407"/>
      <c r="V1561" s="23"/>
    </row>
    <row r="1562" spans="1:32" s="16" customFormat="1" ht="12" customHeight="1" x14ac:dyDescent="0.2">
      <c r="A1562" s="11"/>
      <c r="B1562" s="77"/>
      <c r="C1562" s="77"/>
      <c r="D1562" s="77"/>
      <c r="E1562" s="77"/>
      <c r="F1562" s="77"/>
      <c r="G1562" s="77"/>
      <c r="H1562" s="77"/>
      <c r="I1562" s="77"/>
      <c r="J1562" s="77"/>
      <c r="K1562" s="77"/>
      <c r="L1562" s="77"/>
      <c r="M1562" s="77"/>
      <c r="N1562" s="77"/>
      <c r="O1562" s="77"/>
      <c r="P1562" s="77"/>
      <c r="Q1562" s="77"/>
      <c r="R1562" s="77"/>
      <c r="S1562" s="77"/>
      <c r="T1562" s="37"/>
      <c r="U1562" s="37"/>
      <c r="V1562" s="23"/>
    </row>
    <row r="1563" spans="1:32" s="16" customFormat="1" ht="20.25" customHeight="1" x14ac:dyDescent="0.2">
      <c r="A1563" s="429"/>
      <c r="B1563" s="224" t="s">
        <v>487</v>
      </c>
      <c r="C1563" s="629" t="str">
        <f>'[1]4.NERACA'!C130</f>
        <v>Konstruksi Dalam Pengerjaan</v>
      </c>
      <c r="D1563" s="629"/>
      <c r="E1563" s="629"/>
      <c r="F1563" s="629"/>
      <c r="G1563" s="629"/>
      <c r="H1563" s="629"/>
      <c r="I1563" s="629"/>
      <c r="J1563" s="629"/>
      <c r="K1563" s="629"/>
      <c r="L1563" s="629"/>
      <c r="M1563" s="629"/>
      <c r="N1563" s="629"/>
      <c r="O1563" s="629"/>
      <c r="P1563" s="629"/>
      <c r="Q1563" s="629"/>
      <c r="R1563" s="629"/>
      <c r="S1563" s="629"/>
      <c r="T1563" s="629"/>
      <c r="V1563" s="23"/>
    </row>
    <row r="1564" spans="1:32" s="16" customFormat="1" ht="66" customHeight="1" x14ac:dyDescent="0.2">
      <c r="A1564" s="429"/>
      <c r="B1564" s="29"/>
      <c r="C1564" s="407" t="str">
        <f>"Saldo "&amp;C1563&amp;" per "&amp;'[1]2.ISIAN DATA SKPD'!D8&amp;" dan "&amp;'[1]2.ISIAN DATA SKPD'!D12&amp;" adalah masing-masing sebesar Rp. "&amp;R1570&amp;" dan Rp. "&amp;FIXED(B1570)&amp;" tidak mengalami kenaikan/penurunan sebesar Rp. "&amp;FIXED(AC1570)&amp;" atau sebesar "&amp;FIXED(Y1570)&amp;"% dari tahun "&amp;'[1]2.ISIAN DATA SKPD'!D12&amp;"."</f>
        <v>Saldo Konstruksi Dalam Pengerjaan per 31 Desember 2018 dan 2017 adalah masing-masing sebesar Rp. 500484771 dan Rp. 500.484.771,00 tidak mengalami kenaikan/penurunan sebesar Rp. 0,00 atau sebesar 0,00% dari tahun 2017.</v>
      </c>
      <c r="D1564" s="407"/>
      <c r="E1564" s="407"/>
      <c r="F1564" s="407"/>
      <c r="G1564" s="407"/>
      <c r="H1564" s="407"/>
      <c r="I1564" s="407"/>
      <c r="J1564" s="407"/>
      <c r="K1564" s="407"/>
      <c r="L1564" s="407"/>
      <c r="M1564" s="407"/>
      <c r="N1564" s="407"/>
      <c r="O1564" s="407"/>
      <c r="P1564" s="407"/>
      <c r="Q1564" s="407"/>
      <c r="R1564" s="407"/>
      <c r="S1564" s="407"/>
      <c r="T1564" s="407"/>
      <c r="U1564" s="407"/>
      <c r="V1564" s="23"/>
    </row>
    <row r="1565" spans="1:32" s="16" customFormat="1" ht="39" customHeight="1" x14ac:dyDescent="0.2">
      <c r="A1565" s="429"/>
      <c r="B1565" s="29"/>
      <c r="C1565" s="407" t="str">
        <f>"Mutasi transaksi terhadap "&amp;C1563&amp;" pada tanggal pelaporan adalah sebagai berikut:"</f>
        <v>Mutasi transaksi terhadap Konstruksi Dalam Pengerjaan pada tanggal pelaporan adalah sebagai berikut:</v>
      </c>
      <c r="D1565" s="407"/>
      <c r="E1565" s="407"/>
      <c r="F1565" s="407"/>
      <c r="G1565" s="407"/>
      <c r="H1565" s="407"/>
      <c r="I1565" s="407"/>
      <c r="J1565" s="407"/>
      <c r="K1565" s="407"/>
      <c r="L1565" s="407"/>
      <c r="M1565" s="407"/>
      <c r="N1565" s="407"/>
      <c r="O1565" s="407"/>
      <c r="P1565" s="407"/>
      <c r="Q1565" s="407"/>
      <c r="R1565" s="407"/>
      <c r="S1565" s="407"/>
      <c r="T1565" s="407"/>
      <c r="U1565" s="407"/>
      <c r="V1565" s="23"/>
    </row>
    <row r="1566" spans="1:32" s="16" customFormat="1" ht="17.25" customHeight="1" x14ac:dyDescent="0.2">
      <c r="A1566" s="21"/>
      <c r="B1566" s="29"/>
      <c r="C1566" s="77"/>
      <c r="D1566" s="77"/>
      <c r="E1566" s="77"/>
      <c r="F1566" s="77"/>
      <c r="G1566" s="77"/>
      <c r="H1566" s="77"/>
      <c r="I1566" s="77"/>
      <c r="J1566" s="77"/>
      <c r="K1566" s="77"/>
      <c r="L1566" s="77"/>
      <c r="M1566" s="77"/>
      <c r="N1566" s="77"/>
      <c r="O1566" s="77"/>
      <c r="P1566" s="77"/>
      <c r="Q1566" s="77"/>
      <c r="R1566" s="77"/>
      <c r="S1566" s="77"/>
      <c r="T1566" s="77"/>
      <c r="U1566" s="77"/>
      <c r="V1566" s="23"/>
    </row>
    <row r="1567" spans="1:32" s="16" customFormat="1" ht="19.5" customHeight="1" x14ac:dyDescent="0.2">
      <c r="A1567" s="21"/>
      <c r="B1567" s="29"/>
      <c r="C1567" s="77"/>
      <c r="D1567" s="77"/>
      <c r="E1567" s="77"/>
      <c r="F1567" s="77"/>
      <c r="G1567" s="77"/>
      <c r="H1567" s="77"/>
      <c r="I1567" s="77"/>
      <c r="J1567" s="77"/>
      <c r="K1567" s="77"/>
      <c r="L1567" s="77"/>
      <c r="M1567" s="77"/>
      <c r="N1567" s="77"/>
      <c r="O1567" s="77"/>
      <c r="P1567" s="77"/>
      <c r="Q1567" s="77"/>
      <c r="R1567" s="77"/>
      <c r="S1567" s="77"/>
      <c r="T1567" s="77"/>
      <c r="U1567" s="77"/>
      <c r="V1567" s="23"/>
    </row>
    <row r="1568" spans="1:32" s="16" customFormat="1" ht="12.75" customHeight="1" x14ac:dyDescent="0.2">
      <c r="A1568" s="567" t="s">
        <v>125</v>
      </c>
      <c r="B1568" s="600" t="s">
        <v>443</v>
      </c>
      <c r="C1568" s="600"/>
      <c r="D1568" s="600"/>
      <c r="E1568" s="600"/>
      <c r="F1568" s="605" t="s">
        <v>444</v>
      </c>
      <c r="G1568" s="605"/>
      <c r="H1568" s="605"/>
      <c r="I1568" s="605"/>
      <c r="J1568" s="605"/>
      <c r="K1568" s="605"/>
      <c r="L1568" s="605" t="s">
        <v>445</v>
      </c>
      <c r="M1568" s="605"/>
      <c r="N1568" s="605"/>
      <c r="O1568" s="605"/>
      <c r="P1568" s="605"/>
      <c r="Q1568" s="605"/>
      <c r="R1568" s="600" t="s">
        <v>446</v>
      </c>
      <c r="S1568" s="600"/>
      <c r="T1568" s="600"/>
      <c r="U1568" s="600"/>
      <c r="V1568" s="23"/>
    </row>
    <row r="1569" spans="1:32" s="16" customFormat="1" ht="12.75" customHeight="1" x14ac:dyDescent="0.2">
      <c r="A1569" s="568"/>
      <c r="B1569" s="616">
        <f>B1407</f>
        <v>2017</v>
      </c>
      <c r="C1569" s="617"/>
      <c r="D1569" s="617"/>
      <c r="E1569" s="618"/>
      <c r="F1569" s="600" t="s">
        <v>447</v>
      </c>
      <c r="G1569" s="600"/>
      <c r="H1569" s="600"/>
      <c r="I1569" s="599" t="s">
        <v>448</v>
      </c>
      <c r="J1569" s="599"/>
      <c r="K1569" s="599"/>
      <c r="L1569" s="600" t="s">
        <v>447</v>
      </c>
      <c r="M1569" s="600"/>
      <c r="N1569" s="600"/>
      <c r="O1569" s="601" t="s">
        <v>448</v>
      </c>
      <c r="P1569" s="601"/>
      <c r="Q1569" s="601"/>
      <c r="R1569" s="616">
        <f>R1407</f>
        <v>2018</v>
      </c>
      <c r="S1569" s="617"/>
      <c r="T1569" s="617"/>
      <c r="U1569" s="618"/>
      <c r="V1569" s="487"/>
      <c r="W1569" s="480"/>
      <c r="X1569" s="480"/>
      <c r="Y1569" s="471" t="s">
        <v>449</v>
      </c>
      <c r="Z1569" s="480"/>
      <c r="AA1569" s="480"/>
      <c r="AB1569" s="480"/>
      <c r="AC1569" s="488" t="s">
        <v>438</v>
      </c>
      <c r="AD1569" s="489"/>
      <c r="AE1569" s="489"/>
      <c r="AF1569" s="489"/>
    </row>
    <row r="1570" spans="1:32" s="16" customFormat="1" ht="27.75" customHeight="1" x14ac:dyDescent="0.2">
      <c r="A1570" s="200" t="str">
        <f>C1563</f>
        <v>Konstruksi Dalam Pengerjaan</v>
      </c>
      <c r="B1570" s="580">
        <f>'[1]4.NERACA'!D130</f>
        <v>500484771</v>
      </c>
      <c r="C1570" s="581"/>
      <c r="D1570" s="581"/>
      <c r="E1570" s="582"/>
      <c r="F1570" s="664">
        <f>'[1]4.NERACA'!E130</f>
        <v>0</v>
      </c>
      <c r="G1570" s="664"/>
      <c r="H1570" s="664"/>
      <c r="I1570" s="665">
        <f>'[1]4.NERACA'!F130</f>
        <v>0</v>
      </c>
      <c r="J1570" s="665"/>
      <c r="K1570" s="665"/>
      <c r="L1570" s="664">
        <f>'[1]4.NERACA'!G130</f>
        <v>0</v>
      </c>
      <c r="M1570" s="664"/>
      <c r="N1570" s="664"/>
      <c r="O1570" s="664">
        <f>'[1]4.NERACA'!H130</f>
        <v>0</v>
      </c>
      <c r="P1570" s="664"/>
      <c r="Q1570" s="664"/>
      <c r="R1570" s="664">
        <f>B1570+F1570-I1570+L1570-O1570</f>
        <v>500484771</v>
      </c>
      <c r="S1570" s="664"/>
      <c r="T1570" s="664"/>
      <c r="U1570" s="664"/>
      <c r="V1570" s="479"/>
      <c r="W1570" s="480"/>
      <c r="X1570" s="480"/>
      <c r="Y1570" s="471">
        <v>0</v>
      </c>
      <c r="Z1570" s="480"/>
      <c r="AA1570" s="480"/>
      <c r="AB1570" s="480"/>
      <c r="AC1570" s="471">
        <f>R1570-B1570</f>
        <v>0</v>
      </c>
      <c r="AD1570" s="472"/>
      <c r="AE1570" s="472"/>
      <c r="AF1570" s="472"/>
    </row>
    <row r="1571" spans="1:32" s="16" customFormat="1" ht="18" customHeight="1" x14ac:dyDescent="0.2">
      <c r="A1571" s="11"/>
      <c r="B1571" s="648"/>
      <c r="C1571" s="648"/>
      <c r="D1571" s="648"/>
      <c r="E1571" s="648"/>
      <c r="F1571" s="648"/>
      <c r="G1571" s="648"/>
      <c r="H1571" s="648"/>
      <c r="I1571" s="648"/>
      <c r="J1571" s="648"/>
      <c r="K1571" s="648"/>
      <c r="L1571" s="648"/>
      <c r="M1571" s="648"/>
      <c r="N1571" s="663"/>
      <c r="O1571" s="663"/>
      <c r="P1571" s="663"/>
      <c r="Q1571" s="663"/>
      <c r="R1571" s="663"/>
      <c r="S1571" s="663"/>
      <c r="T1571" s="663"/>
      <c r="U1571" s="663"/>
      <c r="V1571" s="23"/>
    </row>
    <row r="1572" spans="1:32" s="16" customFormat="1" ht="33.75" customHeight="1" x14ac:dyDescent="0.2">
      <c r="A1572" s="5"/>
      <c r="B1572" s="407" t="s">
        <v>488</v>
      </c>
      <c r="C1572" s="407"/>
      <c r="D1572" s="407"/>
      <c r="E1572" s="407"/>
      <c r="F1572" s="407"/>
      <c r="G1572" s="407"/>
      <c r="H1572" s="407"/>
      <c r="I1572" s="407"/>
      <c r="J1572" s="407"/>
      <c r="K1572" s="407"/>
      <c r="L1572" s="407"/>
      <c r="M1572" s="407"/>
      <c r="N1572" s="407"/>
      <c r="O1572" s="407"/>
      <c r="P1572" s="407"/>
      <c r="Q1572" s="407"/>
      <c r="R1572" s="407"/>
      <c r="S1572" s="407"/>
      <c r="T1572" s="407"/>
      <c r="U1572" s="407"/>
      <c r="V1572" s="23"/>
    </row>
    <row r="1573" spans="1:32" s="16" customFormat="1" ht="16.5" customHeight="1" x14ac:dyDescent="0.2">
      <c r="A1573" s="11"/>
      <c r="B1573" s="77"/>
      <c r="C1573" s="77"/>
      <c r="D1573" s="77"/>
      <c r="E1573" s="77"/>
      <c r="F1573" s="77"/>
      <c r="G1573" s="77"/>
      <c r="H1573" s="77"/>
      <c r="I1573" s="77"/>
      <c r="J1573" s="77"/>
      <c r="K1573" s="77"/>
      <c r="L1573" s="77"/>
      <c r="M1573" s="77"/>
      <c r="N1573" s="77"/>
      <c r="O1573" s="77"/>
      <c r="P1573" s="77"/>
      <c r="Q1573" s="77"/>
      <c r="R1573" s="77"/>
      <c r="S1573" s="77"/>
      <c r="T1573" s="37"/>
      <c r="U1573" s="37"/>
      <c r="V1573" s="23"/>
    </row>
    <row r="1574" spans="1:32" s="16" customFormat="1" ht="24" customHeight="1" x14ac:dyDescent="0.2">
      <c r="A1574" s="429"/>
      <c r="B1574" s="224" t="s">
        <v>489</v>
      </c>
      <c r="C1574" s="629" t="s">
        <v>440</v>
      </c>
      <c r="D1574" s="629"/>
      <c r="E1574" s="629"/>
      <c r="F1574" s="629"/>
      <c r="G1574" s="629"/>
      <c r="H1574" s="629"/>
      <c r="I1574" s="629"/>
      <c r="J1574" s="629"/>
      <c r="K1574" s="629"/>
      <c r="L1574" s="629"/>
      <c r="M1574" s="629"/>
      <c r="N1574" s="629"/>
      <c r="O1574" s="629"/>
      <c r="P1574" s="629"/>
      <c r="Q1574" s="629"/>
      <c r="R1574" s="629"/>
      <c r="S1574" s="629"/>
      <c r="T1574" s="629"/>
      <c r="U1574" s="629"/>
      <c r="V1574" s="23"/>
    </row>
    <row r="1575" spans="1:32" s="16" customFormat="1" ht="66.75" customHeight="1" x14ac:dyDescent="0.2">
      <c r="A1575" s="429"/>
      <c r="C1575" s="407" t="str">
        <f>"Nilai "&amp;C1574&amp;"  per "&amp;'[1]2.ISIAN DATA SKPD'!D8&amp;" dan  "&amp;'[1]2.ISIAN DATA SKPD'!D12&amp;" adalah sebesar Rp. "&amp;FIXED(-R1581)&amp;" dan Rp. "&amp;FIXED(-B1581)&amp;" mengalami kenaikan sebesar Rp. "&amp;FIXED(AC1581)&amp;" atau sebesar "&amp;FIXED(Y1581)&amp;"% dari tahun "&amp;'[1]2.ISIAN DATA SKPD'!D12&amp;"."</f>
        <v>Nilai Akumulasi Penyusutan Aset Tetap  per 31 Desember 2018 dan  2017 adalah sebesar Rp. 3.634.368.439,00 dan Rp. 3.120.268.682,00 mengalami kenaikan sebesar Rp. -514.099.757,00 atau sebesar 16,48% dari tahun 2017.</v>
      </c>
      <c r="D1575" s="407"/>
      <c r="E1575" s="407"/>
      <c r="F1575" s="407"/>
      <c r="G1575" s="407"/>
      <c r="H1575" s="407"/>
      <c r="I1575" s="407"/>
      <c r="J1575" s="407"/>
      <c r="K1575" s="407"/>
      <c r="L1575" s="407"/>
      <c r="M1575" s="407"/>
      <c r="N1575" s="407"/>
      <c r="O1575" s="407"/>
      <c r="P1575" s="407"/>
      <c r="Q1575" s="407"/>
      <c r="R1575" s="407"/>
      <c r="S1575" s="407"/>
      <c r="T1575" s="407"/>
      <c r="U1575" s="407"/>
      <c r="V1575" s="23"/>
    </row>
    <row r="1576" spans="1:32" s="16" customFormat="1" ht="63.75" customHeight="1" x14ac:dyDescent="0.2">
      <c r="A1576" s="429"/>
      <c r="C1576" s="407" t="s">
        <v>490</v>
      </c>
      <c r="D1576" s="407"/>
      <c r="E1576" s="407"/>
      <c r="F1576" s="407"/>
      <c r="G1576" s="407"/>
      <c r="H1576" s="407"/>
      <c r="I1576" s="407"/>
      <c r="J1576" s="407"/>
      <c r="K1576" s="407"/>
      <c r="L1576" s="407"/>
      <c r="M1576" s="407"/>
      <c r="N1576" s="407"/>
      <c r="O1576" s="407"/>
      <c r="P1576" s="407"/>
      <c r="Q1576" s="407"/>
      <c r="R1576" s="407"/>
      <c r="S1576" s="407"/>
      <c r="T1576" s="407"/>
      <c r="U1576" s="407"/>
      <c r="V1576" s="23"/>
    </row>
    <row r="1577" spans="1:32" s="16" customFormat="1" ht="30.75" customHeight="1" x14ac:dyDescent="0.2">
      <c r="A1577" s="11"/>
      <c r="C1577" s="407" t="str">
        <f>"Mutasi transaksi terhadap "&amp;C1574&amp;" pada tanggal pelaporan adalah sebagai berikut:"</f>
        <v>Mutasi transaksi terhadap Akumulasi Penyusutan Aset Tetap pada tanggal pelaporan adalah sebagai berikut:</v>
      </c>
      <c r="D1577" s="407"/>
      <c r="E1577" s="407"/>
      <c r="F1577" s="407"/>
      <c r="G1577" s="407"/>
      <c r="H1577" s="407"/>
      <c r="I1577" s="407"/>
      <c r="J1577" s="407"/>
      <c r="K1577" s="407"/>
      <c r="L1577" s="407"/>
      <c r="M1577" s="407"/>
      <c r="N1577" s="407"/>
      <c r="O1577" s="407"/>
      <c r="P1577" s="407"/>
      <c r="Q1577" s="407"/>
      <c r="R1577" s="407"/>
      <c r="S1577" s="407"/>
      <c r="T1577" s="407"/>
      <c r="U1577" s="407"/>
      <c r="V1577" s="23"/>
    </row>
    <row r="1578" spans="1:32" s="16" customFormat="1" ht="12.75" customHeight="1" x14ac:dyDescent="0.2">
      <c r="A1578" s="11"/>
      <c r="C1578" s="225"/>
      <c r="D1578" s="225"/>
      <c r="E1578" s="225"/>
      <c r="F1578" s="225"/>
      <c r="G1578" s="225"/>
      <c r="H1578" s="225"/>
      <c r="I1578" s="225"/>
      <c r="J1578" s="225"/>
      <c r="K1578" s="225"/>
      <c r="L1578" s="225"/>
      <c r="M1578" s="225"/>
      <c r="N1578" s="225"/>
      <c r="O1578" s="225"/>
      <c r="P1578" s="225"/>
      <c r="Q1578" s="225"/>
      <c r="R1578" s="225"/>
      <c r="S1578" s="225"/>
      <c r="T1578" s="225"/>
      <c r="U1578" s="225"/>
      <c r="V1578" s="23"/>
    </row>
    <row r="1579" spans="1:32" s="16" customFormat="1" ht="21.75" customHeight="1" x14ac:dyDescent="0.2">
      <c r="A1579" s="567" t="s">
        <v>125</v>
      </c>
      <c r="B1579" s="569" t="s">
        <v>443</v>
      </c>
      <c r="C1579" s="570"/>
      <c r="D1579" s="570"/>
      <c r="E1579" s="571"/>
      <c r="F1579" s="572" t="s">
        <v>444</v>
      </c>
      <c r="G1579" s="572"/>
      <c r="H1579" s="572"/>
      <c r="I1579" s="572"/>
      <c r="J1579" s="572"/>
      <c r="K1579" s="572"/>
      <c r="L1579" s="572" t="s">
        <v>445</v>
      </c>
      <c r="M1579" s="572"/>
      <c r="N1579" s="572"/>
      <c r="O1579" s="572"/>
      <c r="P1579" s="572"/>
      <c r="Q1579" s="572"/>
      <c r="R1579" s="562" t="s">
        <v>446</v>
      </c>
      <c r="S1579" s="562"/>
      <c r="T1579" s="562"/>
      <c r="U1579" s="562"/>
      <c r="V1579" s="23"/>
    </row>
    <row r="1580" spans="1:32" s="16" customFormat="1" ht="22.5" customHeight="1" x14ac:dyDescent="0.2">
      <c r="A1580" s="568"/>
      <c r="B1580" s="569">
        <f>B1407</f>
        <v>2017</v>
      </c>
      <c r="C1580" s="570"/>
      <c r="D1580" s="570"/>
      <c r="E1580" s="571"/>
      <c r="F1580" s="562" t="s">
        <v>447</v>
      </c>
      <c r="G1580" s="562"/>
      <c r="H1580" s="562"/>
      <c r="I1580" s="573" t="s">
        <v>448</v>
      </c>
      <c r="J1580" s="573"/>
      <c r="K1580" s="573"/>
      <c r="L1580" s="562" t="s">
        <v>447</v>
      </c>
      <c r="M1580" s="562"/>
      <c r="N1580" s="562"/>
      <c r="O1580" s="563" t="s">
        <v>448</v>
      </c>
      <c r="P1580" s="563"/>
      <c r="Q1580" s="563"/>
      <c r="R1580" s="616">
        <f>R1407</f>
        <v>2018</v>
      </c>
      <c r="S1580" s="617"/>
      <c r="T1580" s="617"/>
      <c r="U1580" s="618"/>
      <c r="V1580" s="487"/>
      <c r="W1580" s="480"/>
      <c r="X1580" s="480"/>
      <c r="Y1580" s="471" t="s">
        <v>449</v>
      </c>
      <c r="Z1580" s="480"/>
      <c r="AA1580" s="480"/>
      <c r="AB1580" s="480"/>
      <c r="AC1580" s="488" t="s">
        <v>438</v>
      </c>
      <c r="AD1580" s="489"/>
      <c r="AE1580" s="489"/>
      <c r="AF1580" s="489"/>
    </row>
    <row r="1581" spans="1:32" s="16" customFormat="1" ht="28.5" customHeight="1" x14ac:dyDescent="0.2">
      <c r="A1581" s="200" t="str">
        <f>C1574</f>
        <v>Akumulasi Penyusutan Aset Tetap</v>
      </c>
      <c r="B1581" s="650">
        <f>'[1]4.NERACA'!D132</f>
        <v>-3120268682</v>
      </c>
      <c r="C1581" s="651"/>
      <c r="D1581" s="651"/>
      <c r="E1581" s="652"/>
      <c r="F1581" s="653">
        <f>'[1]4.NERACA'!E132</f>
        <v>0</v>
      </c>
      <c r="G1581" s="653"/>
      <c r="H1581" s="653"/>
      <c r="I1581" s="654">
        <f>'[1]4.NERACA'!F132</f>
        <v>0</v>
      </c>
      <c r="J1581" s="654"/>
      <c r="K1581" s="654"/>
      <c r="L1581" s="615">
        <f>'[1]4.NERACA'!G132</f>
        <v>120474987</v>
      </c>
      <c r="M1581" s="615"/>
      <c r="N1581" s="615"/>
      <c r="O1581" s="653">
        <f>'[1]4.NERACA'!H132</f>
        <v>634574744</v>
      </c>
      <c r="P1581" s="653"/>
      <c r="Q1581" s="653"/>
      <c r="R1581" s="653">
        <f>B1581+F1581-I1581+L1581-O1581</f>
        <v>-3634368439</v>
      </c>
      <c r="S1581" s="653"/>
      <c r="T1581" s="653"/>
      <c r="U1581" s="653"/>
      <c r="V1581" s="479"/>
      <c r="W1581" s="480"/>
      <c r="X1581" s="480"/>
      <c r="Y1581" s="471">
        <f>(R1581-B1581)/B1581*100</f>
        <v>16.476137454627057</v>
      </c>
      <c r="Z1581" s="480"/>
      <c r="AA1581" s="480"/>
      <c r="AB1581" s="480"/>
      <c r="AC1581" s="471">
        <f>R1581-B1581</f>
        <v>-514099757</v>
      </c>
      <c r="AD1581" s="472"/>
      <c r="AE1581" s="472"/>
      <c r="AF1581" s="472"/>
    </row>
    <row r="1582" spans="1:32" s="16" customFormat="1" ht="21" customHeight="1" x14ac:dyDescent="0.2">
      <c r="A1582" s="11"/>
      <c r="B1582" s="77"/>
      <c r="C1582" s="77"/>
      <c r="D1582" s="77"/>
      <c r="E1582" s="77"/>
      <c r="F1582" s="77"/>
      <c r="G1582" s="77"/>
      <c r="H1582" s="77"/>
      <c r="I1582" s="77"/>
      <c r="J1582" s="77"/>
      <c r="K1582" s="77"/>
      <c r="L1582" s="77"/>
      <c r="M1582" s="77"/>
      <c r="N1582" s="77"/>
      <c r="O1582" s="77"/>
      <c r="P1582" s="77"/>
      <c r="Q1582" s="77"/>
      <c r="R1582" s="77"/>
      <c r="S1582" s="77"/>
      <c r="T1582" s="77"/>
      <c r="U1582" s="77"/>
      <c r="V1582" s="23"/>
    </row>
    <row r="1583" spans="1:32" s="16" customFormat="1" ht="21" customHeight="1" x14ac:dyDescent="0.2">
      <c r="A1583" s="11"/>
      <c r="B1583" s="77"/>
      <c r="C1583" s="77"/>
      <c r="D1583" s="77"/>
      <c r="E1583" s="77"/>
      <c r="F1583" s="77"/>
      <c r="G1583" s="77"/>
      <c r="H1583" s="77"/>
      <c r="I1583" s="77"/>
      <c r="J1583" s="77"/>
      <c r="K1583" s="77"/>
      <c r="L1583" s="77"/>
      <c r="M1583" s="77"/>
      <c r="N1583" s="77"/>
      <c r="O1583" s="77"/>
      <c r="P1583" s="77"/>
      <c r="Q1583" s="77"/>
      <c r="R1583" s="77"/>
      <c r="S1583" s="77"/>
      <c r="T1583" s="77"/>
      <c r="U1583" s="77"/>
      <c r="V1583" s="23"/>
    </row>
    <row r="1584" spans="1:32" s="16" customFormat="1" ht="38.25" customHeight="1" x14ac:dyDescent="0.2">
      <c r="A1584" s="11"/>
      <c r="B1584" s="543" t="str">
        <f>"Rincian Akumulasi Penyusutan Aset Tetap per "&amp;'[1]2.ISIAN DATA SKPD'!D8&amp;" adalah sebagai berikut:"</f>
        <v>Rincian Akumulasi Penyusutan Aset Tetap per 31 Desember 2018 adalah sebagai berikut:</v>
      </c>
      <c r="C1584" s="543"/>
      <c r="D1584" s="543"/>
      <c r="E1584" s="543"/>
      <c r="F1584" s="543"/>
      <c r="G1584" s="543"/>
      <c r="H1584" s="543"/>
      <c r="I1584" s="543"/>
      <c r="J1584" s="543"/>
      <c r="K1584" s="543"/>
      <c r="L1584" s="543"/>
      <c r="M1584" s="543"/>
      <c r="N1584" s="543"/>
      <c r="O1584" s="543"/>
      <c r="P1584" s="543"/>
      <c r="Q1584" s="543"/>
      <c r="R1584" s="543"/>
      <c r="S1584" s="543"/>
      <c r="T1584" s="543"/>
      <c r="U1584" s="543"/>
      <c r="V1584" s="23"/>
    </row>
    <row r="1585" spans="1:22" s="16" customFormat="1" ht="36.75" customHeight="1" x14ac:dyDescent="0.2">
      <c r="A1585" s="11"/>
      <c r="B1585" s="231" t="s">
        <v>346</v>
      </c>
      <c r="C1585" s="425" t="s">
        <v>437</v>
      </c>
      <c r="D1585" s="426"/>
      <c r="E1585" s="426"/>
      <c r="F1585" s="426"/>
      <c r="G1585" s="426"/>
      <c r="H1585" s="426"/>
      <c r="I1585" s="427"/>
      <c r="J1585" s="662" t="s">
        <v>491</v>
      </c>
      <c r="K1585" s="662"/>
      <c r="L1585" s="662"/>
      <c r="M1585" s="662"/>
      <c r="N1585" s="428" t="s">
        <v>15</v>
      </c>
      <c r="O1585" s="428"/>
      <c r="P1585" s="428"/>
      <c r="Q1585" s="428"/>
      <c r="R1585" s="428" t="s">
        <v>492</v>
      </c>
      <c r="S1585" s="428"/>
      <c r="T1585" s="428"/>
      <c r="U1585" s="428"/>
      <c r="V1585" s="23"/>
    </row>
    <row r="1586" spans="1:22" s="16" customFormat="1" ht="16.5" customHeight="1" x14ac:dyDescent="0.2">
      <c r="A1586" s="11"/>
      <c r="B1586" s="232">
        <v>1</v>
      </c>
      <c r="C1586" s="657" t="s">
        <v>12</v>
      </c>
      <c r="D1586" s="658"/>
      <c r="E1586" s="658"/>
      <c r="F1586" s="658"/>
      <c r="G1586" s="658"/>
      <c r="H1586" s="658"/>
      <c r="I1586" s="659"/>
      <c r="J1586" s="660">
        <f>'[1]4.NERACA'!I76</f>
        <v>1865112315.0004001</v>
      </c>
      <c r="K1586" s="660"/>
      <c r="L1586" s="660"/>
      <c r="M1586" s="660"/>
      <c r="N1586" s="661">
        <f>'[1]4.NERACA'!I133</f>
        <v>-1265723854</v>
      </c>
      <c r="O1586" s="661"/>
      <c r="P1586" s="661"/>
      <c r="Q1586" s="661"/>
      <c r="R1586" s="661">
        <f>J1586+N1586</f>
        <v>599388461.00040007</v>
      </c>
      <c r="S1586" s="661"/>
      <c r="T1586" s="661"/>
      <c r="U1586" s="661"/>
      <c r="V1586" s="23"/>
    </row>
    <row r="1587" spans="1:22" s="16" customFormat="1" ht="17.25" customHeight="1" x14ac:dyDescent="0.2">
      <c r="A1587" s="11"/>
      <c r="B1587" s="232">
        <v>2</v>
      </c>
      <c r="C1587" s="657" t="s">
        <v>13</v>
      </c>
      <c r="D1587" s="658"/>
      <c r="E1587" s="658"/>
      <c r="F1587" s="658"/>
      <c r="G1587" s="658"/>
      <c r="H1587" s="658"/>
      <c r="I1587" s="659"/>
      <c r="J1587" s="660">
        <f>'[1]4.NERACA'!I99</f>
        <v>25964686153</v>
      </c>
      <c r="K1587" s="660"/>
      <c r="L1587" s="660"/>
      <c r="M1587" s="660"/>
      <c r="N1587" s="661">
        <f>'[1]4.NERACA'!I134</f>
        <v>-1567230693</v>
      </c>
      <c r="O1587" s="661"/>
      <c r="P1587" s="661"/>
      <c r="Q1587" s="661"/>
      <c r="R1587" s="661">
        <f>J1587+N1587</f>
        <v>24397455460</v>
      </c>
      <c r="S1587" s="661"/>
      <c r="T1587" s="661"/>
      <c r="U1587" s="661"/>
      <c r="V1587" s="23"/>
    </row>
    <row r="1588" spans="1:22" s="16" customFormat="1" ht="22.5" customHeight="1" x14ac:dyDescent="0.2">
      <c r="A1588" s="11"/>
      <c r="B1588" s="232">
        <v>3</v>
      </c>
      <c r="C1588" s="657" t="s">
        <v>493</v>
      </c>
      <c r="D1588" s="658"/>
      <c r="E1588" s="658"/>
      <c r="F1588" s="658"/>
      <c r="G1588" s="658"/>
      <c r="H1588" s="658"/>
      <c r="I1588" s="659"/>
      <c r="J1588" s="660">
        <f>'[1]4.NERACA'!I109</f>
        <v>2752875191</v>
      </c>
      <c r="K1588" s="660"/>
      <c r="L1588" s="660"/>
      <c r="M1588" s="660"/>
      <c r="N1588" s="661">
        <f>'[1]4.NERACA'!I135</f>
        <v>-801413892</v>
      </c>
      <c r="O1588" s="661"/>
      <c r="P1588" s="661"/>
      <c r="Q1588" s="661"/>
      <c r="R1588" s="661">
        <f>J1588+N1588</f>
        <v>1951461299</v>
      </c>
      <c r="S1588" s="661"/>
      <c r="T1588" s="661"/>
      <c r="U1588" s="661"/>
      <c r="V1588" s="23"/>
    </row>
    <row r="1589" spans="1:22" s="16" customFormat="1" ht="22.5" customHeight="1" x14ac:dyDescent="0.2">
      <c r="A1589" s="5"/>
      <c r="B1589" s="232">
        <v>4</v>
      </c>
      <c r="C1589" s="657" t="s">
        <v>14</v>
      </c>
      <c r="D1589" s="658"/>
      <c r="E1589" s="658"/>
      <c r="F1589" s="658"/>
      <c r="G1589" s="658"/>
      <c r="H1589" s="658"/>
      <c r="I1589" s="659"/>
      <c r="J1589" s="660">
        <f>'[1]4.NERACA'!I121</f>
        <v>596236988</v>
      </c>
      <c r="K1589" s="660"/>
      <c r="L1589" s="660"/>
      <c r="M1589" s="660"/>
      <c r="N1589" s="661">
        <f>'[1]4.NERACA'!I136</f>
        <v>0</v>
      </c>
      <c r="O1589" s="661"/>
      <c r="P1589" s="661"/>
      <c r="Q1589" s="661"/>
      <c r="R1589" s="661">
        <f>J1589+N1589</f>
        <v>596236988</v>
      </c>
      <c r="S1589" s="661"/>
      <c r="T1589" s="661"/>
      <c r="U1589" s="661"/>
      <c r="V1589" s="23"/>
    </row>
    <row r="1590" spans="1:22" s="16" customFormat="1" ht="36" customHeight="1" x14ac:dyDescent="0.2">
      <c r="A1590" s="5"/>
      <c r="B1590" s="481" t="s">
        <v>15</v>
      </c>
      <c r="C1590" s="482"/>
      <c r="D1590" s="482"/>
      <c r="E1590" s="482"/>
      <c r="F1590" s="482"/>
      <c r="G1590" s="482"/>
      <c r="H1590" s="482"/>
      <c r="I1590" s="483"/>
      <c r="J1590" s="655">
        <f>SUM(J1586:M1589)</f>
        <v>31178910647.000401</v>
      </c>
      <c r="K1590" s="655"/>
      <c r="L1590" s="655"/>
      <c r="M1590" s="655"/>
      <c r="N1590" s="656">
        <f>SUM(N1586:Q1589)</f>
        <v>-3634368439</v>
      </c>
      <c r="O1590" s="656"/>
      <c r="P1590" s="656"/>
      <c r="Q1590" s="656"/>
      <c r="R1590" s="656">
        <f>SUM(R1586:U1589)</f>
        <v>27544542208.000401</v>
      </c>
      <c r="S1590" s="656"/>
      <c r="T1590" s="656"/>
      <c r="U1590" s="656"/>
      <c r="V1590" s="23"/>
    </row>
    <row r="1591" spans="1:22" s="16" customFormat="1" ht="22.5" customHeight="1" x14ac:dyDescent="0.2">
      <c r="A1591" s="5"/>
      <c r="B1591" s="77"/>
      <c r="C1591" s="77"/>
      <c r="D1591" s="77"/>
      <c r="E1591" s="77"/>
      <c r="F1591" s="77"/>
      <c r="G1591" s="77"/>
      <c r="H1591" s="77"/>
      <c r="I1591" s="77"/>
      <c r="J1591" s="77"/>
      <c r="K1591" s="77"/>
      <c r="L1591" s="77"/>
      <c r="M1591" s="77"/>
      <c r="N1591" s="77"/>
      <c r="O1591" s="77"/>
      <c r="P1591" s="77"/>
      <c r="Q1591" s="77"/>
      <c r="R1591" s="77"/>
      <c r="S1591" s="77"/>
      <c r="T1591" s="37"/>
      <c r="U1591" s="37"/>
      <c r="V1591" s="23"/>
    </row>
    <row r="1592" spans="1:22" s="16" customFormat="1" ht="33" customHeight="1" x14ac:dyDescent="0.2">
      <c r="A1592" s="11"/>
      <c r="B1592" s="407" t="s">
        <v>494</v>
      </c>
      <c r="C1592" s="407"/>
      <c r="D1592" s="407"/>
      <c r="E1592" s="407"/>
      <c r="F1592" s="407"/>
      <c r="G1592" s="407"/>
      <c r="H1592" s="407"/>
      <c r="I1592" s="407"/>
      <c r="J1592" s="407"/>
      <c r="K1592" s="407"/>
      <c r="L1592" s="407"/>
      <c r="M1592" s="407"/>
      <c r="N1592" s="407"/>
      <c r="O1592" s="407"/>
      <c r="P1592" s="407"/>
      <c r="Q1592" s="407"/>
      <c r="R1592" s="407"/>
      <c r="S1592" s="407"/>
      <c r="T1592" s="407"/>
      <c r="U1592" s="407"/>
      <c r="V1592" s="23"/>
    </row>
    <row r="1593" spans="1:22" s="16" customFormat="1" ht="17.25" customHeight="1" x14ac:dyDescent="0.2">
      <c r="A1593" s="11"/>
      <c r="B1593" s="77"/>
      <c r="C1593" s="77"/>
      <c r="D1593" s="77"/>
      <c r="E1593" s="77"/>
      <c r="F1593" s="77"/>
      <c r="G1593" s="77"/>
      <c r="H1593" s="77"/>
      <c r="I1593" s="77"/>
      <c r="J1593" s="77"/>
      <c r="K1593" s="77"/>
      <c r="L1593" s="77"/>
      <c r="M1593" s="77"/>
      <c r="N1593" s="77"/>
      <c r="O1593" s="77"/>
      <c r="P1593" s="77"/>
      <c r="Q1593" s="77"/>
      <c r="R1593" s="77"/>
      <c r="S1593" s="77"/>
      <c r="T1593" s="77"/>
      <c r="U1593" s="77"/>
      <c r="V1593" s="23"/>
    </row>
    <row r="1594" spans="1:22" s="16" customFormat="1" ht="18" customHeight="1" x14ac:dyDescent="0.2">
      <c r="A1594" s="11"/>
      <c r="B1594" s="79" t="s">
        <v>495</v>
      </c>
      <c r="C1594" s="534" t="s">
        <v>16</v>
      </c>
      <c r="D1594" s="534"/>
      <c r="E1594" s="534"/>
      <c r="F1594" s="534"/>
      <c r="G1594" s="534"/>
      <c r="H1594" s="534"/>
      <c r="I1594" s="534"/>
      <c r="J1594" s="534"/>
      <c r="K1594" s="534"/>
      <c r="L1594" s="534"/>
      <c r="M1594" s="534"/>
      <c r="N1594" s="534"/>
      <c r="O1594" s="534"/>
      <c r="P1594" s="534"/>
      <c r="Q1594" s="534"/>
      <c r="R1594" s="534"/>
      <c r="S1594" s="534"/>
      <c r="T1594" s="534"/>
      <c r="U1594" s="534"/>
      <c r="V1594" s="23"/>
    </row>
    <row r="1595" spans="1:22" s="16" customFormat="1" ht="18" customHeight="1" x14ac:dyDescent="0.2">
      <c r="A1595" s="11"/>
      <c r="B1595" s="77"/>
      <c r="C1595" s="103"/>
      <c r="D1595" s="103"/>
      <c r="E1595" s="103"/>
      <c r="F1595" s="103"/>
      <c r="G1595" s="103"/>
      <c r="H1595" s="103"/>
      <c r="I1595" s="103"/>
      <c r="J1595" s="103"/>
      <c r="K1595" s="103"/>
      <c r="L1595" s="103"/>
      <c r="M1595" s="103"/>
      <c r="N1595" s="103"/>
      <c r="O1595" s="103"/>
      <c r="P1595" s="103"/>
      <c r="Q1595" s="103"/>
      <c r="R1595" s="103"/>
      <c r="S1595" s="103"/>
      <c r="T1595" s="103"/>
      <c r="U1595" s="103"/>
      <c r="V1595" s="23"/>
    </row>
    <row r="1596" spans="1:22" s="16" customFormat="1" ht="18" customHeight="1" x14ac:dyDescent="0.2">
      <c r="A1596" s="11"/>
      <c r="B1596" s="233" t="s">
        <v>496</v>
      </c>
      <c r="C1596" s="411" t="s">
        <v>17</v>
      </c>
      <c r="D1596" s="411"/>
      <c r="E1596" s="411"/>
      <c r="F1596" s="411"/>
      <c r="G1596" s="411"/>
      <c r="H1596" s="411"/>
      <c r="I1596" s="411"/>
      <c r="J1596" s="411"/>
      <c r="K1596" s="411"/>
      <c r="L1596" s="411"/>
      <c r="M1596" s="411"/>
      <c r="N1596" s="411"/>
      <c r="O1596" s="411"/>
      <c r="P1596" s="411"/>
      <c r="Q1596" s="411"/>
      <c r="R1596" s="411"/>
      <c r="S1596" s="411"/>
      <c r="T1596" s="411"/>
      <c r="U1596" s="411"/>
      <c r="V1596" s="23"/>
    </row>
    <row r="1597" spans="1:22" s="16" customFormat="1" ht="18" customHeight="1" x14ac:dyDescent="0.2">
      <c r="A1597" s="11"/>
      <c r="B1597" s="233"/>
      <c r="C1597" s="158"/>
      <c r="D1597" s="158"/>
      <c r="E1597" s="158"/>
      <c r="F1597" s="158"/>
      <c r="G1597" s="158"/>
      <c r="H1597" s="158"/>
      <c r="I1597" s="158"/>
      <c r="J1597" s="158"/>
      <c r="K1597" s="158"/>
      <c r="L1597" s="158"/>
      <c r="M1597" s="158"/>
      <c r="N1597" s="158"/>
      <c r="O1597" s="158"/>
      <c r="P1597" s="158"/>
      <c r="Q1597" s="158"/>
      <c r="R1597" s="158"/>
      <c r="S1597" s="158"/>
      <c r="T1597" s="158"/>
      <c r="U1597" s="158"/>
      <c r="V1597" s="23"/>
    </row>
    <row r="1598" spans="1:22" s="16" customFormat="1" ht="65.25" customHeight="1" x14ac:dyDescent="0.2">
      <c r="A1598" s="11"/>
      <c r="B1598" s="77"/>
      <c r="C1598" s="532" t="str">
        <f>"Saldo "&amp;A1603&amp;" per "&amp;'[1]2.ISIAN DATA SKPD'!D8&amp;" dan "&amp;'[1]2.ISIAN DATA SKPD'!D12&amp;" adalah masing-masing sebesar Rp. "&amp;FIXED(R1603)&amp;" dan Rp. "&amp;FIXED(B1603)&amp;" mengalami penurunan sebesar Rp. "&amp;FIXED('[1]4.NERACA'!K139)&amp;" atau sebesar "&amp;FIXED('[1]4.NERACA'!J139)&amp;"% dari tahun "&amp;'[1]2.ISIAN DATA SKPD'!D12&amp;"."</f>
        <v>Saldo Aset Lainnya per 31 Desember 2018 dan 2017 adalah masing-masing sebesar Rp. 28.835.680,50 dan Rp. 29.277.765,40 mengalami penurunan sebesar Rp. -442.084,90 atau sebesar -1,51% dari tahun 2017.</v>
      </c>
      <c r="D1598" s="532"/>
      <c r="E1598" s="532"/>
      <c r="F1598" s="532"/>
      <c r="G1598" s="532"/>
      <c r="H1598" s="532"/>
      <c r="I1598" s="532"/>
      <c r="J1598" s="532"/>
      <c r="K1598" s="532"/>
      <c r="L1598" s="532"/>
      <c r="M1598" s="532"/>
      <c r="N1598" s="532"/>
      <c r="O1598" s="532"/>
      <c r="P1598" s="532"/>
      <c r="Q1598" s="532"/>
      <c r="R1598" s="532"/>
      <c r="S1598" s="532"/>
      <c r="T1598" s="532"/>
      <c r="U1598" s="532"/>
      <c r="V1598" s="29"/>
    </row>
    <row r="1599" spans="1:22" s="16" customFormat="1" ht="36.75" customHeight="1" x14ac:dyDescent="0.2">
      <c r="A1599" s="11"/>
      <c r="B1599" s="77"/>
      <c r="C1599" s="407" t="str">
        <f>"Mutasi transaksi terhadap "&amp;A1603&amp;" pada tanggal pelaporan adalah sebagai berikut:"</f>
        <v>Mutasi transaksi terhadap Aset Lainnya pada tanggal pelaporan adalah sebagai berikut:</v>
      </c>
      <c r="D1599" s="407"/>
      <c r="E1599" s="407"/>
      <c r="F1599" s="407"/>
      <c r="G1599" s="407"/>
      <c r="H1599" s="407"/>
      <c r="I1599" s="407"/>
      <c r="J1599" s="407"/>
      <c r="K1599" s="407"/>
      <c r="L1599" s="407"/>
      <c r="M1599" s="407"/>
      <c r="N1599" s="407"/>
      <c r="O1599" s="407"/>
      <c r="P1599" s="407"/>
      <c r="Q1599" s="407"/>
      <c r="R1599" s="407"/>
      <c r="S1599" s="407"/>
      <c r="T1599" s="407"/>
      <c r="U1599" s="407"/>
      <c r="V1599" s="29"/>
    </row>
    <row r="1600" spans="1:22" s="16" customFormat="1" ht="19.5" customHeight="1" x14ac:dyDescent="0.2">
      <c r="A1600" s="11"/>
      <c r="B1600" s="77"/>
      <c r="C1600" s="225"/>
      <c r="D1600" s="225"/>
      <c r="E1600" s="225"/>
      <c r="F1600" s="225"/>
      <c r="G1600" s="225"/>
      <c r="H1600" s="225"/>
      <c r="I1600" s="225"/>
      <c r="J1600" s="225"/>
      <c r="K1600" s="225"/>
      <c r="L1600" s="225"/>
      <c r="M1600" s="225"/>
      <c r="N1600" s="225"/>
      <c r="O1600" s="225"/>
      <c r="P1600" s="225"/>
      <c r="Q1600" s="225"/>
      <c r="R1600" s="225"/>
      <c r="S1600" s="225"/>
      <c r="T1600" s="225"/>
      <c r="U1600" s="225"/>
      <c r="V1600" s="29"/>
    </row>
    <row r="1601" spans="1:32" s="16" customFormat="1" ht="18" customHeight="1" x14ac:dyDescent="0.2">
      <c r="A1601" s="567" t="s">
        <v>125</v>
      </c>
      <c r="B1601" s="569" t="s">
        <v>443</v>
      </c>
      <c r="C1601" s="570"/>
      <c r="D1601" s="570"/>
      <c r="E1601" s="571"/>
      <c r="F1601" s="572" t="s">
        <v>444</v>
      </c>
      <c r="G1601" s="572"/>
      <c r="H1601" s="572"/>
      <c r="I1601" s="572"/>
      <c r="J1601" s="572"/>
      <c r="K1601" s="572"/>
      <c r="L1601" s="572" t="s">
        <v>445</v>
      </c>
      <c r="M1601" s="572"/>
      <c r="N1601" s="572"/>
      <c r="O1601" s="572"/>
      <c r="P1601" s="572"/>
      <c r="Q1601" s="572"/>
      <c r="R1601" s="562" t="s">
        <v>446</v>
      </c>
      <c r="S1601" s="562"/>
      <c r="T1601" s="562"/>
      <c r="U1601" s="562"/>
      <c r="V1601" s="23"/>
    </row>
    <row r="1602" spans="1:32" s="16" customFormat="1" ht="18" customHeight="1" x14ac:dyDescent="0.2">
      <c r="A1602" s="568"/>
      <c r="B1602" s="569">
        <f>B1407</f>
        <v>2017</v>
      </c>
      <c r="C1602" s="570"/>
      <c r="D1602" s="570"/>
      <c r="E1602" s="571"/>
      <c r="F1602" s="562" t="s">
        <v>447</v>
      </c>
      <c r="G1602" s="562"/>
      <c r="H1602" s="562"/>
      <c r="I1602" s="573" t="s">
        <v>448</v>
      </c>
      <c r="J1602" s="573"/>
      <c r="K1602" s="573"/>
      <c r="L1602" s="562" t="s">
        <v>447</v>
      </c>
      <c r="M1602" s="562"/>
      <c r="N1602" s="562"/>
      <c r="O1602" s="563" t="s">
        <v>448</v>
      </c>
      <c r="P1602" s="563"/>
      <c r="Q1602" s="563"/>
      <c r="R1602" s="616">
        <f>R1407</f>
        <v>2018</v>
      </c>
      <c r="S1602" s="617"/>
      <c r="T1602" s="617"/>
      <c r="U1602" s="618"/>
      <c r="V1602" s="23"/>
    </row>
    <row r="1603" spans="1:32" s="16" customFormat="1" ht="29.25" customHeight="1" x14ac:dyDescent="0.2">
      <c r="A1603" s="200" t="s">
        <v>497</v>
      </c>
      <c r="B1603" s="650">
        <f>'[1]4.NERACA'!D139</f>
        <v>29277765.399999999</v>
      </c>
      <c r="C1603" s="651"/>
      <c r="D1603" s="651"/>
      <c r="E1603" s="652"/>
      <c r="F1603" s="653">
        <f>'[1]4.NERACA'!E139</f>
        <v>0</v>
      </c>
      <c r="G1603" s="653"/>
      <c r="H1603" s="653"/>
      <c r="I1603" s="654">
        <f>'[1]4.NERACA'!F139</f>
        <v>0</v>
      </c>
      <c r="J1603" s="654"/>
      <c r="K1603" s="654"/>
      <c r="L1603" s="653">
        <f>'[1]4.NERACA'!G139</f>
        <v>0</v>
      </c>
      <c r="M1603" s="653"/>
      <c r="N1603" s="653"/>
      <c r="O1603" s="653">
        <f>'[1]4.NERACA'!H139</f>
        <v>442084.9</v>
      </c>
      <c r="P1603" s="653"/>
      <c r="Q1603" s="653"/>
      <c r="R1603" s="653">
        <f>B1603+F1603-I1603+L1603-O1603</f>
        <v>28835680.5</v>
      </c>
      <c r="S1603" s="653"/>
      <c r="T1603" s="653"/>
      <c r="U1603" s="653"/>
      <c r="V1603" s="23"/>
    </row>
    <row r="1604" spans="1:32" s="16" customFormat="1" ht="18" customHeight="1" x14ac:dyDescent="0.2">
      <c r="A1604" s="11"/>
      <c r="B1604" s="648" t="s">
        <v>498</v>
      </c>
      <c r="C1604" s="648"/>
      <c r="D1604" s="648"/>
      <c r="E1604" s="648"/>
      <c r="F1604" s="648"/>
      <c r="G1604" s="648"/>
      <c r="H1604" s="648"/>
      <c r="I1604" s="648"/>
      <c r="J1604" s="648"/>
      <c r="K1604" s="648"/>
      <c r="L1604" s="648"/>
      <c r="M1604" s="648"/>
      <c r="N1604" s="648"/>
      <c r="O1604" s="648"/>
      <c r="P1604" s="648"/>
      <c r="Q1604" s="648"/>
      <c r="R1604" s="648"/>
      <c r="S1604" s="648"/>
      <c r="T1604" s="648"/>
      <c r="U1604" s="648"/>
      <c r="V1604" s="23"/>
    </row>
    <row r="1605" spans="1:32" s="16" customFormat="1" ht="18" customHeight="1" x14ac:dyDescent="0.2">
      <c r="A1605" s="11"/>
      <c r="B1605" s="649" t="s">
        <v>499</v>
      </c>
      <c r="C1605" s="649"/>
      <c r="D1605" s="649"/>
      <c r="E1605" s="649"/>
      <c r="F1605" s="649"/>
      <c r="G1605" s="649"/>
      <c r="H1605" s="649"/>
      <c r="I1605" s="649"/>
      <c r="J1605" s="649"/>
      <c r="K1605" s="649"/>
      <c r="L1605" s="649"/>
      <c r="M1605" s="649"/>
      <c r="N1605" s="649"/>
      <c r="O1605" s="649"/>
      <c r="P1605" s="649"/>
      <c r="Q1605" s="649"/>
      <c r="R1605" s="649"/>
      <c r="S1605" s="649"/>
      <c r="T1605" s="649"/>
      <c r="U1605" s="649"/>
      <c r="V1605" s="23"/>
    </row>
    <row r="1606" spans="1:32" s="16" customFormat="1" ht="21" customHeight="1" x14ac:dyDescent="0.2">
      <c r="A1606" s="11"/>
      <c r="B1606" s="649" t="s">
        <v>500</v>
      </c>
      <c r="C1606" s="649"/>
      <c r="D1606" s="649"/>
      <c r="E1606" s="649"/>
      <c r="F1606" s="649"/>
      <c r="G1606" s="649"/>
      <c r="H1606" s="649"/>
      <c r="I1606" s="649"/>
      <c r="J1606" s="649"/>
      <c r="K1606" s="649"/>
      <c r="L1606" s="649"/>
      <c r="M1606" s="649"/>
      <c r="N1606" s="649"/>
      <c r="O1606" s="649"/>
      <c r="P1606" s="649"/>
      <c r="Q1606" s="649"/>
      <c r="R1606" s="649"/>
      <c r="S1606" s="649"/>
      <c r="T1606" s="649"/>
      <c r="U1606" s="649"/>
      <c r="V1606" s="23"/>
    </row>
    <row r="1607" spans="1:32" s="16" customFormat="1" ht="21" customHeight="1" x14ac:dyDescent="0.2">
      <c r="A1607" s="11"/>
      <c r="B1607" s="649" t="s">
        <v>501</v>
      </c>
      <c r="C1607" s="649"/>
      <c r="D1607" s="649"/>
      <c r="E1607" s="649"/>
      <c r="F1607" s="649"/>
      <c r="G1607" s="649"/>
      <c r="H1607" s="649"/>
      <c r="I1607" s="649"/>
      <c r="J1607" s="649"/>
      <c r="K1607" s="649"/>
      <c r="L1607" s="649"/>
      <c r="M1607" s="649"/>
      <c r="N1607" s="649"/>
      <c r="O1607" s="649"/>
      <c r="P1607" s="649"/>
      <c r="Q1607" s="649"/>
      <c r="R1607" s="649"/>
      <c r="S1607" s="649"/>
      <c r="T1607" s="649"/>
      <c r="U1607" s="649"/>
      <c r="V1607" s="23"/>
    </row>
    <row r="1608" spans="1:32" s="16" customFormat="1" ht="62.25" customHeight="1" x14ac:dyDescent="0.2">
      <c r="A1608" s="429"/>
      <c r="C1608" s="407" t="str">
        <f>"Saldo Aset Tak Berwujud (ATB) per "&amp;'[1]2.ISIAN DATA SKPD'!D8&amp;" dan "&amp;'[1]2.ISIAN DATA SKPD'!D12&amp;" adalah Rp. "&amp;FIXED(R1614)&amp;" dan Rp. "&amp;FIXED(B1614)&amp;" mengalami penurunan sebesar Rp. "&amp;FIXED(AC1614)&amp;" atau sebesar "&amp;FIXED(Y1614)&amp;"% dari tahun "&amp;'[1]2.ISIAN DATA SKPD'!D12&amp;"."</f>
        <v>Saldo Aset Tak Berwujud (ATB) per 31 Desember 2018 dan 2017 adalah Rp. 2.210.424,50 dan Rp. 2.652.509,40 mengalami penurunan sebesar Rp. -442.084,90 atau sebesar -16,67% dari tahun 2017.</v>
      </c>
      <c r="D1608" s="407"/>
      <c r="E1608" s="407"/>
      <c r="F1608" s="407"/>
      <c r="G1608" s="407"/>
      <c r="H1608" s="407"/>
      <c r="I1608" s="407"/>
      <c r="J1608" s="407"/>
      <c r="K1608" s="407"/>
      <c r="L1608" s="407"/>
      <c r="M1608" s="407"/>
      <c r="N1608" s="407"/>
      <c r="O1608" s="407"/>
      <c r="P1608" s="407"/>
      <c r="Q1608" s="407"/>
      <c r="R1608" s="407"/>
      <c r="S1608" s="407"/>
      <c r="T1608" s="407"/>
      <c r="U1608" s="407"/>
      <c r="V1608" s="23"/>
    </row>
    <row r="1609" spans="1:32" s="16" customFormat="1" ht="47.25" customHeight="1" x14ac:dyDescent="0.2">
      <c r="A1609" s="429"/>
      <c r="C1609" s="407" t="s">
        <v>502</v>
      </c>
      <c r="D1609" s="407"/>
      <c r="E1609" s="407"/>
      <c r="F1609" s="407"/>
      <c r="G1609" s="407"/>
      <c r="H1609" s="407"/>
      <c r="I1609" s="407"/>
      <c r="J1609" s="407"/>
      <c r="K1609" s="407"/>
      <c r="L1609" s="407"/>
      <c r="M1609" s="407"/>
      <c r="N1609" s="407"/>
      <c r="O1609" s="407"/>
      <c r="P1609" s="407"/>
      <c r="Q1609" s="407"/>
      <c r="R1609" s="407"/>
      <c r="S1609" s="407"/>
      <c r="T1609" s="407"/>
      <c r="U1609" s="407"/>
      <c r="V1609" s="23"/>
    </row>
    <row r="1610" spans="1:32" s="16" customFormat="1" ht="47.25" customHeight="1" x14ac:dyDescent="0.2">
      <c r="A1610" s="21"/>
      <c r="C1610" s="77"/>
      <c r="D1610" s="77"/>
      <c r="E1610" s="77"/>
      <c r="F1610" s="77"/>
      <c r="G1610" s="77"/>
      <c r="H1610" s="77"/>
      <c r="I1610" s="77"/>
      <c r="J1610" s="77"/>
      <c r="K1610" s="77"/>
      <c r="L1610" s="77"/>
      <c r="M1610" s="77"/>
      <c r="N1610" s="77"/>
      <c r="O1610" s="77"/>
      <c r="P1610" s="77"/>
      <c r="Q1610" s="77"/>
      <c r="R1610" s="77"/>
      <c r="S1610" s="77"/>
      <c r="T1610" s="77"/>
      <c r="U1610" s="77"/>
      <c r="V1610" s="23"/>
    </row>
    <row r="1611" spans="1:32" s="16" customFormat="1" ht="18" customHeight="1" x14ac:dyDescent="0.2">
      <c r="A1611" s="11"/>
      <c r="V1611" s="23"/>
    </row>
    <row r="1612" spans="1:32" s="16" customFormat="1" ht="14.25" customHeight="1" x14ac:dyDescent="0.2">
      <c r="A1612" s="567" t="s">
        <v>125</v>
      </c>
      <c r="B1612" s="602" t="s">
        <v>443</v>
      </c>
      <c r="C1612" s="603"/>
      <c r="D1612" s="603"/>
      <c r="E1612" s="604"/>
      <c r="F1612" s="605" t="s">
        <v>444</v>
      </c>
      <c r="G1612" s="605"/>
      <c r="H1612" s="605"/>
      <c r="I1612" s="605"/>
      <c r="J1612" s="605"/>
      <c r="K1612" s="605"/>
      <c r="L1612" s="605" t="s">
        <v>445</v>
      </c>
      <c r="M1612" s="605"/>
      <c r="N1612" s="605"/>
      <c r="O1612" s="605"/>
      <c r="P1612" s="605"/>
      <c r="Q1612" s="605"/>
      <c r="R1612" s="600" t="s">
        <v>446</v>
      </c>
      <c r="S1612" s="600"/>
      <c r="T1612" s="600"/>
      <c r="U1612" s="600"/>
      <c r="V1612" s="23"/>
    </row>
    <row r="1613" spans="1:32" s="16" customFormat="1" ht="14.25" customHeight="1" x14ac:dyDescent="0.2">
      <c r="A1613" s="568"/>
      <c r="B1613" s="616">
        <f>B1602</f>
        <v>2017</v>
      </c>
      <c r="C1613" s="617"/>
      <c r="D1613" s="617"/>
      <c r="E1613" s="618"/>
      <c r="F1613" s="600" t="s">
        <v>447</v>
      </c>
      <c r="G1613" s="600"/>
      <c r="H1613" s="600"/>
      <c r="I1613" s="599" t="s">
        <v>448</v>
      </c>
      <c r="J1613" s="599"/>
      <c r="K1613" s="599"/>
      <c r="L1613" s="600" t="s">
        <v>447</v>
      </c>
      <c r="M1613" s="600"/>
      <c r="N1613" s="600"/>
      <c r="O1613" s="601" t="s">
        <v>448</v>
      </c>
      <c r="P1613" s="601"/>
      <c r="Q1613" s="601"/>
      <c r="R1613" s="616">
        <f>R1602</f>
        <v>2018</v>
      </c>
      <c r="S1613" s="617"/>
      <c r="T1613" s="617"/>
      <c r="U1613" s="618"/>
      <c r="V1613" s="487"/>
      <c r="W1613" s="480"/>
      <c r="X1613" s="480"/>
      <c r="Y1613" s="471" t="s">
        <v>449</v>
      </c>
      <c r="Z1613" s="480"/>
      <c r="AA1613" s="480"/>
      <c r="AB1613" s="480"/>
      <c r="AC1613" s="488" t="s">
        <v>438</v>
      </c>
      <c r="AD1613" s="489"/>
      <c r="AE1613" s="489"/>
      <c r="AF1613" s="489"/>
    </row>
    <row r="1614" spans="1:32" s="16" customFormat="1" ht="34.5" customHeight="1" x14ac:dyDescent="0.2">
      <c r="A1614" s="200" t="s">
        <v>18</v>
      </c>
      <c r="B1614" s="580">
        <f>'[1]4.NERACA'!D147</f>
        <v>2652509.4</v>
      </c>
      <c r="C1614" s="581"/>
      <c r="D1614" s="581"/>
      <c r="E1614" s="582"/>
      <c r="F1614" s="583">
        <f>'[1]4.NERACA'!E147</f>
        <v>0</v>
      </c>
      <c r="G1614" s="583"/>
      <c r="H1614" s="583"/>
      <c r="I1614" s="561">
        <f>'[1]4.NERACA'!F147</f>
        <v>0</v>
      </c>
      <c r="J1614" s="561"/>
      <c r="K1614" s="561"/>
      <c r="L1614" s="583">
        <f>'[1]4.NERACA'!G147</f>
        <v>0</v>
      </c>
      <c r="M1614" s="583"/>
      <c r="N1614" s="583"/>
      <c r="O1614" s="583">
        <f>'[1]4.NERACA'!H147</f>
        <v>442084.9</v>
      </c>
      <c r="P1614" s="583"/>
      <c r="Q1614" s="583"/>
      <c r="R1614" s="580">
        <f>B1614++F1614-I1614+L1614-O1614</f>
        <v>2210424.5</v>
      </c>
      <c r="S1614" s="581"/>
      <c r="T1614" s="581"/>
      <c r="U1614" s="582"/>
      <c r="V1614" s="479"/>
      <c r="W1614" s="480"/>
      <c r="X1614" s="480"/>
      <c r="Y1614" s="471">
        <f>(R1614-B1614)/B1614*100</f>
        <v>-16.666666666666664</v>
      </c>
      <c r="Z1614" s="480"/>
      <c r="AA1614" s="480"/>
      <c r="AB1614" s="480"/>
      <c r="AC1614" s="471">
        <f>R1614-B1614</f>
        <v>-442084.89999999991</v>
      </c>
      <c r="AD1614" s="472"/>
      <c r="AE1614" s="472"/>
      <c r="AF1614" s="472"/>
    </row>
    <row r="1615" spans="1:32" s="16" customFormat="1" ht="30" customHeight="1" x14ac:dyDescent="0.2">
      <c r="A1615" s="11"/>
      <c r="B1615" s="234"/>
      <c r="C1615" s="645" t="s">
        <v>503</v>
      </c>
      <c r="D1615" s="645"/>
      <c r="E1615" s="645"/>
      <c r="F1615" s="645"/>
      <c r="G1615" s="645"/>
      <c r="H1615" s="645"/>
      <c r="I1615" s="645"/>
      <c r="J1615" s="645"/>
      <c r="K1615" s="645"/>
      <c r="L1615" s="645"/>
      <c r="M1615" s="645"/>
      <c r="N1615" s="645"/>
      <c r="O1615" s="645"/>
      <c r="P1615" s="645"/>
      <c r="Q1615" s="645"/>
      <c r="R1615" s="645"/>
      <c r="S1615" s="645"/>
      <c r="T1615" s="645"/>
      <c r="U1615" s="645"/>
      <c r="V1615" s="23"/>
    </row>
    <row r="1616" spans="1:32" s="16" customFormat="1" ht="18.75" customHeight="1" x14ac:dyDescent="0.2">
      <c r="A1616" s="11"/>
      <c r="B1616" s="20"/>
      <c r="C1616" s="646" t="s">
        <v>504</v>
      </c>
      <c r="D1616" s="646"/>
      <c r="E1616" s="646"/>
      <c r="F1616" s="646"/>
      <c r="G1616" s="646"/>
      <c r="H1616" s="646"/>
      <c r="I1616" s="646"/>
      <c r="J1616" s="646"/>
      <c r="K1616" s="646"/>
      <c r="L1616" s="647" t="s">
        <v>505</v>
      </c>
      <c r="M1616" s="647"/>
      <c r="N1616" s="647"/>
      <c r="O1616" s="647"/>
      <c r="P1616" s="647"/>
      <c r="Q1616" s="647"/>
      <c r="R1616" s="235"/>
      <c r="S1616" s="235"/>
      <c r="T1616" s="235"/>
      <c r="U1616" s="235"/>
      <c r="V1616" s="23"/>
    </row>
    <row r="1617" spans="1:32" s="16" customFormat="1" ht="18.75" customHeight="1" x14ac:dyDescent="0.2">
      <c r="A1617" s="11"/>
      <c r="B1617" s="20"/>
      <c r="C1617" s="646" t="s">
        <v>506</v>
      </c>
      <c r="D1617" s="646"/>
      <c r="E1617" s="646"/>
      <c r="F1617" s="646"/>
      <c r="G1617" s="646"/>
      <c r="H1617" s="646"/>
      <c r="I1617" s="646"/>
      <c r="J1617" s="646"/>
      <c r="K1617" s="646"/>
      <c r="L1617" s="647" t="s">
        <v>505</v>
      </c>
      <c r="M1617" s="647"/>
      <c r="N1617" s="647"/>
      <c r="O1617" s="647"/>
      <c r="P1617" s="647"/>
      <c r="Q1617" s="647"/>
      <c r="R1617" s="235"/>
      <c r="S1617" s="235"/>
      <c r="T1617" s="235"/>
      <c r="U1617" s="235"/>
      <c r="V1617" s="23"/>
    </row>
    <row r="1618" spans="1:32" s="16" customFormat="1" ht="18.75" customHeight="1" x14ac:dyDescent="0.2">
      <c r="A1618" s="11"/>
      <c r="B1618" s="20"/>
      <c r="C1618" s="646" t="s">
        <v>507</v>
      </c>
      <c r="D1618" s="646"/>
      <c r="E1618" s="646"/>
      <c r="F1618" s="646"/>
      <c r="G1618" s="646"/>
      <c r="H1618" s="646"/>
      <c r="I1618" s="646"/>
      <c r="J1618" s="646"/>
      <c r="K1618" s="646"/>
      <c r="L1618" s="647" t="s">
        <v>505</v>
      </c>
      <c r="M1618" s="647"/>
      <c r="N1618" s="647"/>
      <c r="O1618" s="647"/>
      <c r="P1618" s="647"/>
      <c r="Q1618" s="647"/>
      <c r="R1618" s="235"/>
      <c r="S1618" s="235"/>
      <c r="T1618" s="235"/>
      <c r="U1618" s="235"/>
      <c r="V1618" s="23"/>
    </row>
    <row r="1619" spans="1:32" s="16" customFormat="1" ht="18.75" customHeight="1" x14ac:dyDescent="0.2">
      <c r="A1619" s="11"/>
      <c r="B1619" s="20"/>
      <c r="C1619" s="646" t="s">
        <v>508</v>
      </c>
      <c r="D1619" s="646"/>
      <c r="E1619" s="646"/>
      <c r="F1619" s="646"/>
      <c r="G1619" s="646"/>
      <c r="H1619" s="646"/>
      <c r="I1619" s="646"/>
      <c r="J1619" s="646"/>
      <c r="K1619" s="646"/>
      <c r="L1619" s="647" t="s">
        <v>505</v>
      </c>
      <c r="M1619" s="647"/>
      <c r="N1619" s="647"/>
      <c r="O1619" s="647"/>
      <c r="P1619" s="647"/>
      <c r="Q1619" s="647"/>
      <c r="R1619" s="235"/>
      <c r="S1619" s="235"/>
      <c r="T1619" s="235"/>
      <c r="U1619" s="235"/>
      <c r="V1619" s="23"/>
    </row>
    <row r="1620" spans="1:32" s="16" customFormat="1" ht="18.75" customHeight="1" x14ac:dyDescent="0.2">
      <c r="A1620" s="11"/>
      <c r="B1620" s="20"/>
      <c r="C1620" s="646" t="s">
        <v>509</v>
      </c>
      <c r="D1620" s="646"/>
      <c r="E1620" s="646"/>
      <c r="F1620" s="646"/>
      <c r="G1620" s="646"/>
      <c r="H1620" s="646"/>
      <c r="I1620" s="646"/>
      <c r="J1620" s="646"/>
      <c r="K1620" s="646"/>
      <c r="L1620" s="646"/>
      <c r="M1620" s="646"/>
      <c r="N1620" s="646"/>
      <c r="O1620" s="646"/>
      <c r="P1620" s="646"/>
      <c r="Q1620" s="646"/>
      <c r="R1620" s="646"/>
      <c r="S1620" s="646"/>
      <c r="T1620" s="646"/>
      <c r="U1620" s="646"/>
      <c r="V1620" s="23"/>
    </row>
    <row r="1621" spans="1:32" s="16" customFormat="1" ht="64.5" customHeight="1" x14ac:dyDescent="0.2">
      <c r="A1621" s="11"/>
      <c r="B1621" s="20"/>
      <c r="C1621" s="407" t="str">
        <f>"Saldo Aset Tak Berwujud Lainnya per "&amp;'[1]2.ISIAN DATA SKPD'!D8&amp;" dan "&amp;'[1]2.ISIAN DATA SKPD'!D12&amp;" adalah Rp. "&amp;FIXED(R1626)&amp;" dan Rp. "&amp;FIXED(B1626)&amp;" tidak mengalami kenaikan/penurunan sebesar Rp. "&amp;FIXED(AC1626)&amp;" atau sebesar "&amp;FIXED(Y1626)&amp;"% dari tahun "&amp;'[1]2.ISIAN DATA SKPD'!D12&amp;"."</f>
        <v>Saldo Aset Tak Berwujud Lainnya per 31 Desember 2018 dan 2017 adalah Rp. 4.420.849,00 dan Rp. 4.420.849,00 tidak mengalami kenaikan/penurunan sebesar Rp. 0,00 atau sebesar 0,00% dari tahun 2017.</v>
      </c>
      <c r="D1621" s="407"/>
      <c r="E1621" s="407"/>
      <c r="F1621" s="407"/>
      <c r="G1621" s="407"/>
      <c r="H1621" s="407"/>
      <c r="I1621" s="407"/>
      <c r="J1621" s="407"/>
      <c r="K1621" s="407"/>
      <c r="L1621" s="407"/>
      <c r="M1621" s="407"/>
      <c r="N1621" s="407"/>
      <c r="O1621" s="407"/>
      <c r="P1621" s="407"/>
      <c r="Q1621" s="407"/>
      <c r="R1621" s="407"/>
      <c r="S1621" s="407"/>
      <c r="T1621" s="407"/>
      <c r="U1621" s="407"/>
      <c r="V1621" s="23"/>
    </row>
    <row r="1622" spans="1:32" s="16" customFormat="1" ht="54" customHeight="1" x14ac:dyDescent="0.2">
      <c r="A1622" s="11"/>
      <c r="B1622" s="20"/>
      <c r="C1622" s="407" t="str">
        <f>"Aset Tak Berwujud Lainnya pada "&amp;'[1]2.ISIAN DATA SKPD'!D2&amp;" berupa software yang digunakan untuk menunjang operasional kantor."</f>
        <v>Aset Tak Berwujud Lainnya pada Dinas Pariwisata Dan Kebudayaan berupa software yang digunakan untuk menunjang operasional kantor.</v>
      </c>
      <c r="D1622" s="407"/>
      <c r="E1622" s="407"/>
      <c r="F1622" s="407"/>
      <c r="G1622" s="407"/>
      <c r="H1622" s="407"/>
      <c r="I1622" s="407"/>
      <c r="J1622" s="407"/>
      <c r="K1622" s="407"/>
      <c r="L1622" s="407"/>
      <c r="M1622" s="407"/>
      <c r="N1622" s="407"/>
      <c r="O1622" s="407"/>
      <c r="P1622" s="407"/>
      <c r="Q1622" s="407"/>
      <c r="R1622" s="407"/>
      <c r="S1622" s="407"/>
      <c r="T1622" s="407"/>
      <c r="U1622" s="407"/>
      <c r="V1622" s="23"/>
    </row>
    <row r="1623" spans="1:32" s="16" customFormat="1" ht="18.75" customHeight="1" x14ac:dyDescent="0.2">
      <c r="A1623" s="11"/>
      <c r="B1623" s="20"/>
      <c r="C1623" s="236"/>
      <c r="D1623" s="236"/>
      <c r="E1623" s="236"/>
      <c r="F1623" s="236"/>
      <c r="G1623" s="236"/>
      <c r="H1623" s="236"/>
      <c r="I1623" s="236"/>
      <c r="J1623" s="236"/>
      <c r="K1623" s="236"/>
      <c r="L1623" s="236"/>
      <c r="M1623" s="236"/>
      <c r="N1623" s="236"/>
      <c r="O1623" s="236"/>
      <c r="P1623" s="236"/>
      <c r="Q1623" s="236"/>
      <c r="R1623" s="236"/>
      <c r="S1623" s="236"/>
      <c r="T1623" s="236"/>
      <c r="U1623" s="236"/>
      <c r="V1623" s="23"/>
    </row>
    <row r="1624" spans="1:32" s="16" customFormat="1" ht="18.75" customHeight="1" x14ac:dyDescent="0.2">
      <c r="A1624" s="567" t="s">
        <v>125</v>
      </c>
      <c r="B1624" s="602" t="s">
        <v>443</v>
      </c>
      <c r="C1624" s="603"/>
      <c r="D1624" s="603"/>
      <c r="E1624" s="604"/>
      <c r="F1624" s="605" t="s">
        <v>444</v>
      </c>
      <c r="G1624" s="605"/>
      <c r="H1624" s="605"/>
      <c r="I1624" s="605"/>
      <c r="J1624" s="605"/>
      <c r="K1624" s="605"/>
      <c r="L1624" s="605" t="s">
        <v>445</v>
      </c>
      <c r="M1624" s="605"/>
      <c r="N1624" s="605"/>
      <c r="O1624" s="605"/>
      <c r="P1624" s="605"/>
      <c r="Q1624" s="605"/>
      <c r="R1624" s="600" t="s">
        <v>446</v>
      </c>
      <c r="S1624" s="600"/>
      <c r="T1624" s="600"/>
      <c r="U1624" s="600"/>
      <c r="V1624" s="23"/>
    </row>
    <row r="1625" spans="1:32" s="16" customFormat="1" ht="18.75" customHeight="1" x14ac:dyDescent="0.2">
      <c r="A1625" s="568"/>
      <c r="B1625" s="616">
        <f>B1613</f>
        <v>2017</v>
      </c>
      <c r="C1625" s="617"/>
      <c r="D1625" s="617"/>
      <c r="E1625" s="618"/>
      <c r="F1625" s="600" t="s">
        <v>447</v>
      </c>
      <c r="G1625" s="600"/>
      <c r="H1625" s="600"/>
      <c r="I1625" s="599" t="s">
        <v>448</v>
      </c>
      <c r="J1625" s="599"/>
      <c r="K1625" s="599"/>
      <c r="L1625" s="600" t="s">
        <v>447</v>
      </c>
      <c r="M1625" s="600"/>
      <c r="N1625" s="600"/>
      <c r="O1625" s="601" t="s">
        <v>448</v>
      </c>
      <c r="P1625" s="601"/>
      <c r="Q1625" s="601"/>
      <c r="R1625" s="616">
        <f>R1613</f>
        <v>2018</v>
      </c>
      <c r="S1625" s="617"/>
      <c r="T1625" s="617"/>
      <c r="U1625" s="618"/>
      <c r="V1625" s="487"/>
      <c r="W1625" s="480"/>
      <c r="X1625" s="480"/>
      <c r="Y1625" s="471" t="s">
        <v>449</v>
      </c>
      <c r="Z1625" s="480"/>
      <c r="AA1625" s="480"/>
      <c r="AB1625" s="480"/>
      <c r="AC1625" s="488" t="s">
        <v>438</v>
      </c>
      <c r="AD1625" s="489"/>
      <c r="AE1625" s="489"/>
      <c r="AF1625" s="489"/>
    </row>
    <row r="1626" spans="1:32" s="16" customFormat="1" ht="42.75" customHeight="1" x14ac:dyDescent="0.2">
      <c r="A1626" s="200" t="s">
        <v>510</v>
      </c>
      <c r="B1626" s="580">
        <f>'[1]4.NERACA'!D152</f>
        <v>4420849</v>
      </c>
      <c r="C1626" s="581"/>
      <c r="D1626" s="581"/>
      <c r="E1626" s="582"/>
      <c r="F1626" s="583">
        <f>'[1]4.NERACA'!E152</f>
        <v>0</v>
      </c>
      <c r="G1626" s="583"/>
      <c r="H1626" s="583"/>
      <c r="I1626" s="561">
        <f>'[1]4.NERACA'!F152</f>
        <v>0</v>
      </c>
      <c r="J1626" s="561"/>
      <c r="K1626" s="561"/>
      <c r="L1626" s="583">
        <f>'[1]4.NERACA'!G152</f>
        <v>0</v>
      </c>
      <c r="M1626" s="583"/>
      <c r="N1626" s="583"/>
      <c r="O1626" s="583">
        <f>'[1]4.NERACA'!H152</f>
        <v>0</v>
      </c>
      <c r="P1626" s="583"/>
      <c r="Q1626" s="583"/>
      <c r="R1626" s="583">
        <f>B1626++F1626-I1626+L1626-O1626</f>
        <v>4420849</v>
      </c>
      <c r="S1626" s="583"/>
      <c r="T1626" s="583"/>
      <c r="U1626" s="583"/>
      <c r="V1626" s="479"/>
      <c r="W1626" s="480"/>
      <c r="X1626" s="480"/>
      <c r="Y1626" s="471">
        <f>(R1626-B1626)/B1626*100</f>
        <v>0</v>
      </c>
      <c r="Z1626" s="480"/>
      <c r="AA1626" s="480"/>
      <c r="AB1626" s="480"/>
      <c r="AC1626" s="471">
        <f>R1626-B1626</f>
        <v>0</v>
      </c>
      <c r="AD1626" s="472"/>
      <c r="AE1626" s="472"/>
      <c r="AF1626" s="472"/>
    </row>
    <row r="1627" spans="1:32" s="16" customFormat="1" ht="18" customHeight="1" x14ac:dyDescent="0.2">
      <c r="A1627" s="11"/>
      <c r="B1627" s="20"/>
      <c r="C1627" s="645" t="s">
        <v>450</v>
      </c>
      <c r="D1627" s="645"/>
      <c r="E1627" s="645"/>
      <c r="F1627" s="645"/>
      <c r="G1627" s="645"/>
      <c r="H1627" s="645"/>
      <c r="I1627" s="645"/>
      <c r="J1627" s="645"/>
      <c r="K1627" s="645"/>
      <c r="L1627" s="645"/>
      <c r="M1627" s="645"/>
      <c r="N1627" s="645"/>
      <c r="O1627" s="645"/>
      <c r="P1627" s="645"/>
      <c r="Q1627" s="645"/>
      <c r="R1627" s="645"/>
      <c r="S1627" s="645"/>
      <c r="T1627" s="645"/>
      <c r="U1627" s="645"/>
      <c r="V1627" s="23"/>
    </row>
    <row r="1628" spans="1:32" s="16" customFormat="1" ht="20.25" customHeight="1" x14ac:dyDescent="0.2">
      <c r="A1628" s="11"/>
      <c r="B1628" s="125"/>
      <c r="C1628" s="408" t="s">
        <v>462</v>
      </c>
      <c r="D1628" s="408"/>
      <c r="E1628" s="408"/>
      <c r="F1628" s="408"/>
      <c r="G1628" s="408"/>
      <c r="H1628" s="408"/>
      <c r="I1628" s="408"/>
      <c r="J1628" s="408"/>
      <c r="K1628" s="408"/>
      <c r="L1628" s="408"/>
      <c r="M1628" s="408"/>
      <c r="N1628" s="408"/>
      <c r="O1628" s="408"/>
      <c r="P1628" s="408"/>
      <c r="Q1628" s="408"/>
      <c r="R1628" s="408"/>
      <c r="S1628" s="408"/>
      <c r="T1628" s="408"/>
      <c r="U1628" s="408"/>
      <c r="V1628" s="23"/>
    </row>
    <row r="1629" spans="1:32" s="16" customFormat="1" ht="18.75" customHeight="1" x14ac:dyDescent="0.2">
      <c r="A1629" s="11"/>
      <c r="B1629" s="125"/>
      <c r="C1629" s="408" t="str">
        <f>"Mutasi Debet sebesar Rp. "&amp;FIXED(F1626+L1626)&amp;" "</f>
        <v xml:space="preserve">Mutasi Debet sebesar Rp. 0,00 </v>
      </c>
      <c r="D1629" s="408"/>
      <c r="E1629" s="408"/>
      <c r="F1629" s="408"/>
      <c r="G1629" s="408"/>
      <c r="H1629" s="408"/>
      <c r="I1629" s="408"/>
      <c r="J1629" s="408"/>
      <c r="K1629" s="408"/>
      <c r="L1629" s="408"/>
      <c r="M1629" s="408"/>
      <c r="N1629" s="408"/>
      <c r="O1629" s="408"/>
      <c r="P1629" s="408"/>
      <c r="Q1629" s="408"/>
      <c r="R1629" s="408"/>
      <c r="S1629" s="408"/>
      <c r="T1629" s="408"/>
      <c r="U1629" s="408"/>
      <c r="V1629" s="23"/>
    </row>
    <row r="1630" spans="1:32" s="16" customFormat="1" ht="19.5" customHeight="1" x14ac:dyDescent="0.2">
      <c r="A1630" s="11"/>
      <c r="B1630" s="125"/>
      <c r="C1630" s="408" t="s">
        <v>463</v>
      </c>
      <c r="D1630" s="408"/>
      <c r="E1630" s="408"/>
      <c r="F1630" s="408"/>
      <c r="G1630" s="408"/>
      <c r="H1630" s="408"/>
      <c r="I1630" s="408"/>
      <c r="J1630" s="408"/>
      <c r="K1630" s="408"/>
      <c r="L1630" s="408"/>
      <c r="M1630" s="408"/>
      <c r="N1630" s="408"/>
      <c r="O1630" s="408"/>
      <c r="P1630" s="408"/>
      <c r="Q1630" s="408"/>
      <c r="R1630" s="408"/>
      <c r="S1630" s="408"/>
      <c r="T1630" s="408"/>
      <c r="U1630" s="408"/>
      <c r="V1630" s="23"/>
    </row>
    <row r="1631" spans="1:32" s="16" customFormat="1" ht="15" customHeight="1" x14ac:dyDescent="0.2">
      <c r="A1631" s="11"/>
      <c r="B1631" s="203"/>
      <c r="C1631" s="408" t="str">
        <f>"Mutasi Kredit Rp. "&amp;FIXED(I1626+O1626)&amp;"0"</f>
        <v>Mutasi Kredit Rp. 0,000</v>
      </c>
      <c r="D1631" s="408"/>
      <c r="E1631" s="408"/>
      <c r="F1631" s="408"/>
      <c r="G1631" s="408"/>
      <c r="H1631" s="408"/>
      <c r="I1631" s="408"/>
      <c r="J1631" s="408"/>
      <c r="K1631" s="408"/>
      <c r="L1631" s="408"/>
      <c r="M1631" s="408"/>
      <c r="N1631" s="408"/>
      <c r="O1631" s="408"/>
      <c r="P1631" s="408"/>
      <c r="Q1631" s="408"/>
      <c r="R1631" s="408"/>
      <c r="S1631" s="408"/>
      <c r="T1631" s="408"/>
      <c r="U1631" s="408"/>
      <c r="V1631" s="23"/>
    </row>
    <row r="1632" spans="1:32" s="16" customFormat="1" ht="10.5" customHeight="1" x14ac:dyDescent="0.2">
      <c r="A1632" s="11"/>
      <c r="B1632" s="203"/>
      <c r="C1632" s="532"/>
      <c r="D1632" s="532"/>
      <c r="E1632" s="532"/>
      <c r="F1632" s="532"/>
      <c r="G1632" s="532"/>
      <c r="H1632" s="532"/>
      <c r="I1632" s="532"/>
      <c r="J1632" s="532"/>
      <c r="K1632" s="532"/>
      <c r="L1632" s="532"/>
      <c r="M1632" s="532"/>
      <c r="N1632" s="532"/>
      <c r="O1632" s="532"/>
      <c r="P1632" s="532"/>
      <c r="Q1632" s="532"/>
      <c r="R1632" s="532"/>
      <c r="S1632" s="532"/>
      <c r="T1632" s="532"/>
      <c r="U1632" s="532"/>
      <c r="V1632" s="23"/>
    </row>
    <row r="1633" spans="1:32" s="16" customFormat="1" ht="21" customHeight="1" x14ac:dyDescent="0.2">
      <c r="A1633" s="11"/>
      <c r="B1633" s="203"/>
      <c r="C1633" s="402" t="s">
        <v>511</v>
      </c>
      <c r="D1633" s="402"/>
      <c r="E1633" s="402"/>
      <c r="F1633" s="402"/>
      <c r="G1633" s="402"/>
      <c r="H1633" s="402"/>
      <c r="I1633" s="402"/>
      <c r="J1633" s="402"/>
      <c r="K1633" s="402"/>
      <c r="L1633" s="402"/>
      <c r="M1633" s="402"/>
      <c r="N1633" s="402"/>
      <c r="O1633" s="402"/>
      <c r="P1633" s="402"/>
      <c r="Q1633" s="402"/>
      <c r="R1633" s="402"/>
      <c r="S1633" s="402"/>
      <c r="T1633" s="402"/>
      <c r="U1633" s="402"/>
      <c r="V1633" s="23"/>
    </row>
    <row r="1634" spans="1:32" s="16" customFormat="1" ht="59.25" customHeight="1" x14ac:dyDescent="0.2">
      <c r="A1634" s="11"/>
      <c r="B1634" s="203"/>
      <c r="C1634" s="407" t="str">
        <f>"Saldo Akumulasi dan Amortisasi ATB per "&amp;'[1]2.ISIAN DATA SKPD'!D8&amp;" dan "&amp;'[1]2.ISIAN DATA SKPD'!D12&amp;" adalah Rp. "&amp;FIXED(R1638)&amp;" dan Rp. "&amp;FIXED(B1638)&amp;" mengalami kenaikan sebesar Rp. "&amp;FIXED(AC1638)&amp;" atau sebesar "&amp;FIXED(Y1638)&amp;"% dari tahun "&amp;'[1]2.ISIAN DATA SKPD'!D12&amp;"."</f>
        <v>Saldo Akumulasi dan Amortisasi ATB per 31 Desember 2018 dan 2017 adalah Rp. -2.210.424,50 dan Rp. -1.768.339,60 mengalami kenaikan sebesar Rp. -442.084,90 atau sebesar 25,00% dari tahun 2017.</v>
      </c>
      <c r="D1634" s="407"/>
      <c r="E1634" s="407"/>
      <c r="F1634" s="407"/>
      <c r="G1634" s="407"/>
      <c r="H1634" s="407"/>
      <c r="I1634" s="407"/>
      <c r="J1634" s="407"/>
      <c r="K1634" s="407"/>
      <c r="L1634" s="407"/>
      <c r="M1634" s="407"/>
      <c r="N1634" s="407"/>
      <c r="O1634" s="407"/>
      <c r="P1634" s="407"/>
      <c r="Q1634" s="407"/>
      <c r="R1634" s="407"/>
      <c r="S1634" s="407"/>
      <c r="T1634" s="407"/>
      <c r="U1634" s="407"/>
      <c r="V1634" s="23"/>
    </row>
    <row r="1635" spans="1:32" s="16" customFormat="1" ht="16.5" customHeight="1" x14ac:dyDescent="0.2">
      <c r="A1635" s="11"/>
      <c r="B1635" s="203"/>
      <c r="C1635" s="219"/>
      <c r="D1635" s="219"/>
      <c r="E1635" s="219"/>
      <c r="F1635" s="219"/>
      <c r="G1635" s="219"/>
      <c r="H1635" s="219"/>
      <c r="I1635" s="219"/>
      <c r="J1635" s="219"/>
      <c r="K1635" s="219"/>
      <c r="L1635" s="219"/>
      <c r="M1635" s="219"/>
      <c r="N1635" s="219"/>
      <c r="O1635" s="219"/>
      <c r="P1635" s="219"/>
      <c r="Q1635" s="219"/>
      <c r="R1635" s="219"/>
      <c r="S1635" s="219"/>
      <c r="T1635" s="219"/>
      <c r="U1635" s="219"/>
      <c r="V1635" s="23"/>
    </row>
    <row r="1636" spans="1:32" s="16" customFormat="1" ht="21" customHeight="1" x14ac:dyDescent="0.2">
      <c r="A1636" s="567" t="s">
        <v>125</v>
      </c>
      <c r="B1636" s="602" t="s">
        <v>443</v>
      </c>
      <c r="C1636" s="603"/>
      <c r="D1636" s="603"/>
      <c r="E1636" s="604"/>
      <c r="F1636" s="605" t="s">
        <v>444</v>
      </c>
      <c r="G1636" s="605"/>
      <c r="H1636" s="605"/>
      <c r="I1636" s="605"/>
      <c r="J1636" s="605"/>
      <c r="K1636" s="605"/>
      <c r="L1636" s="605" t="s">
        <v>445</v>
      </c>
      <c r="M1636" s="605"/>
      <c r="N1636" s="605"/>
      <c r="O1636" s="605"/>
      <c r="P1636" s="605"/>
      <c r="Q1636" s="605"/>
      <c r="R1636" s="600" t="s">
        <v>446</v>
      </c>
      <c r="S1636" s="600"/>
      <c r="T1636" s="600"/>
      <c r="U1636" s="600"/>
      <c r="V1636" s="23"/>
    </row>
    <row r="1637" spans="1:32" s="16" customFormat="1" ht="21" customHeight="1" x14ac:dyDescent="0.2">
      <c r="A1637" s="568"/>
      <c r="B1637" s="616">
        <f>B1625</f>
        <v>2017</v>
      </c>
      <c r="C1637" s="617"/>
      <c r="D1637" s="617"/>
      <c r="E1637" s="618"/>
      <c r="F1637" s="600" t="s">
        <v>447</v>
      </c>
      <c r="G1637" s="600"/>
      <c r="H1637" s="600"/>
      <c r="I1637" s="599" t="s">
        <v>448</v>
      </c>
      <c r="J1637" s="599"/>
      <c r="K1637" s="599"/>
      <c r="L1637" s="600" t="s">
        <v>447</v>
      </c>
      <c r="M1637" s="600"/>
      <c r="N1637" s="600"/>
      <c r="O1637" s="601" t="s">
        <v>448</v>
      </c>
      <c r="P1637" s="601"/>
      <c r="Q1637" s="601"/>
      <c r="R1637" s="616">
        <f>R1625</f>
        <v>2018</v>
      </c>
      <c r="S1637" s="617"/>
      <c r="T1637" s="617"/>
      <c r="U1637" s="618"/>
      <c r="V1637" s="487"/>
      <c r="W1637" s="480"/>
      <c r="X1637" s="480"/>
      <c r="Y1637" s="471" t="s">
        <v>449</v>
      </c>
      <c r="Z1637" s="480"/>
      <c r="AA1637" s="480"/>
      <c r="AB1637" s="480"/>
      <c r="AC1637" s="488" t="s">
        <v>438</v>
      </c>
      <c r="AD1637" s="489"/>
      <c r="AE1637" s="489"/>
      <c r="AF1637" s="489"/>
    </row>
    <row r="1638" spans="1:32" s="16" customFormat="1" ht="53.25" customHeight="1" x14ac:dyDescent="0.2">
      <c r="A1638" s="200" t="s">
        <v>512</v>
      </c>
      <c r="B1638" s="580">
        <f>'[1]4.NERACA'!D153</f>
        <v>-1768339.6</v>
      </c>
      <c r="C1638" s="581"/>
      <c r="D1638" s="581"/>
      <c r="E1638" s="582"/>
      <c r="F1638" s="583">
        <f>'[1]4.NERACA'!E153</f>
        <v>0</v>
      </c>
      <c r="G1638" s="583"/>
      <c r="H1638" s="583"/>
      <c r="I1638" s="561">
        <f>'[1]4.NERACA'!F153</f>
        <v>0</v>
      </c>
      <c r="J1638" s="561"/>
      <c r="K1638" s="561"/>
      <c r="L1638" s="583">
        <f>'[1]4.NERACA'!G153</f>
        <v>0</v>
      </c>
      <c r="M1638" s="583"/>
      <c r="N1638" s="583"/>
      <c r="O1638" s="583">
        <f>'[1]4.NERACA'!H153</f>
        <v>442084.9</v>
      </c>
      <c r="P1638" s="583"/>
      <c r="Q1638" s="583"/>
      <c r="R1638" s="583">
        <f>B1638++F1638-I1638+L1638-O1638</f>
        <v>-2210424.5</v>
      </c>
      <c r="S1638" s="583"/>
      <c r="T1638" s="583"/>
      <c r="U1638" s="583"/>
      <c r="V1638" s="479"/>
      <c r="W1638" s="480"/>
      <c r="X1638" s="480"/>
      <c r="Y1638" s="471">
        <f>(R1638-B1638)/B1638*100</f>
        <v>24.999999999999993</v>
      </c>
      <c r="Z1638" s="480"/>
      <c r="AA1638" s="480"/>
      <c r="AB1638" s="480"/>
      <c r="AC1638" s="471">
        <f>R1638-B1638</f>
        <v>-442084.89999999991</v>
      </c>
      <c r="AD1638" s="472"/>
      <c r="AE1638" s="472"/>
      <c r="AF1638" s="472"/>
    </row>
    <row r="1639" spans="1:32" s="16" customFormat="1" ht="53.25" customHeight="1" x14ac:dyDescent="0.2">
      <c r="A1639" s="11"/>
      <c r="B1639" s="228"/>
      <c r="C1639" s="227"/>
      <c r="D1639" s="227"/>
      <c r="E1639" s="227"/>
      <c r="F1639" s="227"/>
      <c r="G1639" s="227"/>
      <c r="H1639" s="227"/>
      <c r="I1639" s="227"/>
      <c r="J1639" s="227"/>
      <c r="K1639" s="227"/>
      <c r="L1639" s="227"/>
      <c r="M1639" s="227"/>
      <c r="N1639" s="227"/>
      <c r="O1639" s="227"/>
      <c r="P1639" s="227"/>
      <c r="Q1639" s="227"/>
      <c r="R1639" s="227"/>
      <c r="S1639" s="227"/>
      <c r="T1639" s="227"/>
      <c r="U1639" s="227"/>
      <c r="V1639" s="112"/>
      <c r="W1639" s="211"/>
      <c r="X1639" s="211"/>
      <c r="Y1639" s="113"/>
      <c r="Z1639" s="211"/>
      <c r="AA1639" s="211"/>
      <c r="AB1639" s="211"/>
      <c r="AC1639" s="113"/>
      <c r="AD1639" s="114"/>
      <c r="AE1639" s="114"/>
      <c r="AF1639" s="114"/>
    </row>
    <row r="1640" spans="1:32" s="16" customFormat="1" ht="21" customHeight="1" x14ac:dyDescent="0.2">
      <c r="A1640" s="11"/>
      <c r="B1640" s="228"/>
      <c r="C1640" s="228"/>
      <c r="D1640" s="228"/>
      <c r="E1640" s="228"/>
      <c r="F1640" s="228"/>
      <c r="G1640" s="228"/>
      <c r="H1640" s="228"/>
      <c r="I1640" s="228"/>
      <c r="J1640" s="228"/>
      <c r="K1640" s="228"/>
      <c r="L1640" s="228"/>
      <c r="M1640" s="228"/>
      <c r="N1640" s="228"/>
      <c r="O1640" s="228"/>
      <c r="P1640" s="228"/>
      <c r="Q1640" s="228"/>
      <c r="R1640" s="228"/>
      <c r="S1640" s="228"/>
      <c r="T1640" s="228"/>
      <c r="U1640" s="228"/>
      <c r="V1640" s="112"/>
      <c r="W1640" s="211"/>
      <c r="X1640" s="211"/>
      <c r="Y1640" s="113"/>
      <c r="Z1640" s="211"/>
      <c r="AA1640" s="211"/>
      <c r="AB1640" s="211"/>
      <c r="AC1640" s="113"/>
      <c r="AD1640" s="114"/>
      <c r="AE1640" s="114"/>
      <c r="AF1640" s="114"/>
    </row>
    <row r="1641" spans="1:32" s="16" customFormat="1" ht="21" customHeight="1" x14ac:dyDescent="0.2">
      <c r="A1641" s="11"/>
      <c r="B1641" s="203"/>
      <c r="C1641" s="644" t="s">
        <v>450</v>
      </c>
      <c r="D1641" s="644"/>
      <c r="E1641" s="644"/>
      <c r="F1641" s="644"/>
      <c r="G1641" s="644"/>
      <c r="H1641" s="644"/>
      <c r="I1641" s="644"/>
      <c r="J1641" s="644"/>
      <c r="K1641" s="644"/>
      <c r="L1641" s="644"/>
      <c r="M1641" s="644"/>
      <c r="N1641" s="644"/>
      <c r="O1641" s="644"/>
      <c r="P1641" s="644"/>
      <c r="Q1641" s="644"/>
      <c r="R1641" s="644"/>
      <c r="S1641" s="644"/>
      <c r="T1641" s="644"/>
      <c r="U1641" s="644"/>
      <c r="V1641" s="23"/>
    </row>
    <row r="1642" spans="1:32" s="16" customFormat="1" ht="21" customHeight="1" x14ac:dyDescent="0.2">
      <c r="A1642" s="11"/>
      <c r="B1642" s="203"/>
      <c r="C1642" s="408" t="s">
        <v>513</v>
      </c>
      <c r="D1642" s="408"/>
      <c r="E1642" s="408"/>
      <c r="F1642" s="408"/>
      <c r="G1642" s="408"/>
      <c r="H1642" s="408"/>
      <c r="I1642" s="408"/>
      <c r="J1642" s="408"/>
      <c r="K1642" s="408"/>
      <c r="L1642" s="408"/>
      <c r="M1642" s="408"/>
      <c r="N1642" s="408"/>
      <c r="O1642" s="408"/>
      <c r="P1642" s="408"/>
      <c r="Q1642" s="408"/>
      <c r="R1642" s="408"/>
      <c r="S1642" s="408"/>
      <c r="T1642" s="408"/>
      <c r="U1642" s="408"/>
      <c r="V1642" s="23"/>
    </row>
    <row r="1643" spans="1:32" s="16" customFormat="1" ht="30" customHeight="1" x14ac:dyDescent="0.2">
      <c r="A1643" s="11"/>
      <c r="B1643" s="203"/>
      <c r="C1643" s="408" t="str">
        <f>"Mutasi Debet sebesar Rp. "&amp;FIXED(F1638+L1638)&amp;" adalah merupakan penambahan amortisasi tahun 2017."</f>
        <v>Mutasi Debet sebesar Rp. 0,00 adalah merupakan penambahan amortisasi tahun 2017.</v>
      </c>
      <c r="D1643" s="408"/>
      <c r="E1643" s="408"/>
      <c r="F1643" s="408"/>
      <c r="G1643" s="408"/>
      <c r="H1643" s="408"/>
      <c r="I1643" s="408"/>
      <c r="J1643" s="408"/>
      <c r="K1643" s="408"/>
      <c r="L1643" s="408"/>
      <c r="M1643" s="408"/>
      <c r="N1643" s="408"/>
      <c r="O1643" s="408"/>
      <c r="P1643" s="408"/>
      <c r="Q1643" s="408"/>
      <c r="R1643" s="408"/>
      <c r="S1643" s="408"/>
      <c r="T1643" s="408"/>
      <c r="U1643" s="408"/>
      <c r="V1643" s="23"/>
    </row>
    <row r="1644" spans="1:32" s="16" customFormat="1" ht="21" customHeight="1" x14ac:dyDescent="0.2">
      <c r="A1644" s="11"/>
      <c r="B1644" s="203"/>
      <c r="C1644" s="408" t="s">
        <v>514</v>
      </c>
      <c r="D1644" s="408"/>
      <c r="E1644" s="408"/>
      <c r="F1644" s="408"/>
      <c r="G1644" s="408"/>
      <c r="H1644" s="408"/>
      <c r="I1644" s="408"/>
      <c r="J1644" s="408"/>
      <c r="K1644" s="408"/>
      <c r="L1644" s="408"/>
      <c r="M1644" s="408"/>
      <c r="N1644" s="408"/>
      <c r="O1644" s="408"/>
      <c r="P1644" s="408"/>
      <c r="Q1644" s="408"/>
      <c r="R1644" s="408"/>
      <c r="S1644" s="408"/>
      <c r="T1644" s="408"/>
      <c r="U1644" s="408"/>
      <c r="V1644" s="23"/>
    </row>
    <row r="1645" spans="1:32" s="16" customFormat="1" ht="15" customHeight="1" x14ac:dyDescent="0.2">
      <c r="A1645" s="11"/>
      <c r="B1645" s="203"/>
      <c r="C1645" s="408" t="str">
        <f>"Mutasi Kredit Rp. "&amp;FIXED(I1638+O1638)&amp;"0"</f>
        <v>Mutasi Kredit Rp. 442.084,900</v>
      </c>
      <c r="D1645" s="408"/>
      <c r="E1645" s="408"/>
      <c r="F1645" s="408"/>
      <c r="G1645" s="408"/>
      <c r="H1645" s="408"/>
      <c r="I1645" s="408"/>
      <c r="J1645" s="408"/>
      <c r="K1645" s="408"/>
      <c r="L1645" s="408"/>
      <c r="M1645" s="408"/>
      <c r="N1645" s="408"/>
      <c r="O1645" s="408"/>
      <c r="P1645" s="408"/>
      <c r="Q1645" s="408"/>
      <c r="R1645" s="408"/>
      <c r="S1645" s="408"/>
      <c r="T1645" s="408"/>
      <c r="U1645" s="408"/>
      <c r="V1645" s="23"/>
    </row>
    <row r="1646" spans="1:32" s="16" customFormat="1" ht="35.25" customHeight="1" x14ac:dyDescent="0.2">
      <c r="A1646" s="11"/>
      <c r="B1646" s="640" t="str">
        <f>"Berikut rincian Saldo Aset Tak Berwujud per "&amp;'[1]2.ISIAN DATA SKPD'!D8&amp;"  beserta akumulasi dan amortisasi :"</f>
        <v>Berikut rincian Saldo Aset Tak Berwujud per 31 Desember 2018  beserta akumulasi dan amortisasi :</v>
      </c>
      <c r="C1646" s="640"/>
      <c r="D1646" s="640"/>
      <c r="E1646" s="640"/>
      <c r="F1646" s="640"/>
      <c r="G1646" s="640"/>
      <c r="H1646" s="640"/>
      <c r="I1646" s="640"/>
      <c r="J1646" s="640"/>
      <c r="K1646" s="640"/>
      <c r="L1646" s="640"/>
      <c r="M1646" s="640"/>
      <c r="N1646" s="640"/>
      <c r="O1646" s="640"/>
      <c r="P1646" s="640"/>
      <c r="Q1646" s="640"/>
      <c r="R1646" s="640"/>
      <c r="S1646" s="640"/>
      <c r="T1646" s="640"/>
      <c r="U1646" s="640"/>
      <c r="V1646" s="23"/>
    </row>
    <row r="1647" spans="1:32" s="16" customFormat="1" ht="24" customHeight="1" x14ac:dyDescent="0.2">
      <c r="A1647" s="11"/>
      <c r="B1647" s="641" t="s">
        <v>125</v>
      </c>
      <c r="C1647" s="642"/>
      <c r="D1647" s="642"/>
      <c r="E1647" s="642"/>
      <c r="F1647" s="642"/>
      <c r="G1647" s="642"/>
      <c r="H1647" s="642"/>
      <c r="I1647" s="642"/>
      <c r="J1647" s="642"/>
      <c r="K1647" s="642"/>
      <c r="L1647" s="642"/>
      <c r="M1647" s="643"/>
      <c r="N1647" s="641" t="s">
        <v>455</v>
      </c>
      <c r="O1647" s="642"/>
      <c r="P1647" s="642"/>
      <c r="Q1647" s="642"/>
      <c r="R1647" s="642"/>
      <c r="S1647" s="642"/>
      <c r="T1647" s="642"/>
      <c r="U1647" s="643"/>
      <c r="V1647" s="23"/>
    </row>
    <row r="1648" spans="1:32" s="16" customFormat="1" ht="18.75" customHeight="1" x14ac:dyDescent="0.2">
      <c r="A1648" s="11"/>
      <c r="B1648" s="630" t="str">
        <f>'[1]4.NERACA'!C148</f>
        <v>Goodwill</v>
      </c>
      <c r="C1648" s="631"/>
      <c r="D1648" s="631"/>
      <c r="E1648" s="631"/>
      <c r="F1648" s="631"/>
      <c r="G1648" s="631"/>
      <c r="H1648" s="631"/>
      <c r="I1648" s="631"/>
      <c r="J1648" s="631"/>
      <c r="K1648" s="631"/>
      <c r="L1648" s="631"/>
      <c r="M1648" s="632"/>
      <c r="N1648" s="545">
        <f>'[1]4.NERACA'!I148</f>
        <v>0</v>
      </c>
      <c r="O1648" s="546"/>
      <c r="P1648" s="546"/>
      <c r="Q1648" s="546"/>
      <c r="R1648" s="546"/>
      <c r="S1648" s="546"/>
      <c r="T1648" s="546"/>
      <c r="U1648" s="633"/>
      <c r="V1648" s="23"/>
    </row>
    <row r="1649" spans="1:32" s="16" customFormat="1" ht="18.75" customHeight="1" x14ac:dyDescent="0.2">
      <c r="A1649" s="11"/>
      <c r="B1649" s="630" t="str">
        <f>'[1]4.NERACA'!C149</f>
        <v>Lisensi dan frenchise</v>
      </c>
      <c r="C1649" s="631"/>
      <c r="D1649" s="631"/>
      <c r="E1649" s="631"/>
      <c r="F1649" s="631"/>
      <c r="G1649" s="631"/>
      <c r="H1649" s="631"/>
      <c r="I1649" s="631"/>
      <c r="J1649" s="631"/>
      <c r="K1649" s="631"/>
      <c r="L1649" s="631"/>
      <c r="M1649" s="632"/>
      <c r="N1649" s="545">
        <f>'[1]4.NERACA'!I149</f>
        <v>0</v>
      </c>
      <c r="O1649" s="546"/>
      <c r="P1649" s="546"/>
      <c r="Q1649" s="546"/>
      <c r="R1649" s="546"/>
      <c r="S1649" s="546"/>
      <c r="T1649" s="546"/>
      <c r="U1649" s="633"/>
      <c r="V1649" s="23"/>
    </row>
    <row r="1650" spans="1:32" s="16" customFormat="1" ht="18.75" customHeight="1" x14ac:dyDescent="0.2">
      <c r="A1650" s="11"/>
      <c r="B1650" s="630" t="str">
        <f>'[1]4.NERACA'!C150</f>
        <v>Hak Cipta</v>
      </c>
      <c r="C1650" s="631"/>
      <c r="D1650" s="631"/>
      <c r="E1650" s="631"/>
      <c r="F1650" s="631"/>
      <c r="G1650" s="631"/>
      <c r="H1650" s="631"/>
      <c r="I1650" s="631"/>
      <c r="J1650" s="631"/>
      <c r="K1650" s="631"/>
      <c r="L1650" s="631"/>
      <c r="M1650" s="632"/>
      <c r="N1650" s="545">
        <f>'[1]4.NERACA'!I150</f>
        <v>0</v>
      </c>
      <c r="O1650" s="546"/>
      <c r="P1650" s="546"/>
      <c r="Q1650" s="546"/>
      <c r="R1650" s="546"/>
      <c r="S1650" s="546"/>
      <c r="T1650" s="546"/>
      <c r="U1650" s="633"/>
      <c r="V1650" s="23"/>
    </row>
    <row r="1651" spans="1:32" s="16" customFormat="1" ht="18.75" customHeight="1" x14ac:dyDescent="0.2">
      <c r="A1651" s="11"/>
      <c r="B1651" s="630" t="str">
        <f>'[1]4.NERACA'!C151</f>
        <v>Paten</v>
      </c>
      <c r="C1651" s="631"/>
      <c r="D1651" s="631"/>
      <c r="E1651" s="631"/>
      <c r="F1651" s="631"/>
      <c r="G1651" s="631"/>
      <c r="H1651" s="631"/>
      <c r="I1651" s="631"/>
      <c r="J1651" s="631"/>
      <c r="K1651" s="631"/>
      <c r="L1651" s="631"/>
      <c r="M1651" s="632"/>
      <c r="N1651" s="545">
        <f>'[1]4.NERACA'!I151</f>
        <v>0</v>
      </c>
      <c r="O1651" s="546"/>
      <c r="P1651" s="546"/>
      <c r="Q1651" s="546"/>
      <c r="R1651" s="546"/>
      <c r="S1651" s="546"/>
      <c r="T1651" s="546"/>
      <c r="U1651" s="633"/>
      <c r="V1651" s="23"/>
    </row>
    <row r="1652" spans="1:32" s="16" customFormat="1" ht="18.75" customHeight="1" x14ac:dyDescent="0.2">
      <c r="A1652" s="11"/>
      <c r="B1652" s="630" t="str">
        <f>'[1]4.NERACA'!C152</f>
        <v>Aset Tidak Berwujud Lainnya</v>
      </c>
      <c r="C1652" s="631"/>
      <c r="D1652" s="631"/>
      <c r="E1652" s="631"/>
      <c r="F1652" s="631"/>
      <c r="G1652" s="631"/>
      <c r="H1652" s="631"/>
      <c r="I1652" s="631"/>
      <c r="J1652" s="631"/>
      <c r="K1652" s="631"/>
      <c r="L1652" s="631"/>
      <c r="M1652" s="632"/>
      <c r="N1652" s="545">
        <f>'[1]4.NERACA'!I152</f>
        <v>4420849</v>
      </c>
      <c r="O1652" s="546"/>
      <c r="P1652" s="546"/>
      <c r="Q1652" s="546"/>
      <c r="R1652" s="546"/>
      <c r="S1652" s="546"/>
      <c r="T1652" s="546"/>
      <c r="U1652" s="633"/>
      <c r="V1652" s="23"/>
    </row>
    <row r="1653" spans="1:32" s="16" customFormat="1" ht="18.75" customHeight="1" x14ac:dyDescent="0.2">
      <c r="A1653" s="11"/>
      <c r="B1653" s="630" t="str">
        <f>'[1]4.NERACA'!C153</f>
        <v>Akumulasi Amortisasi Aset Tidak Berwujud</v>
      </c>
      <c r="C1653" s="631"/>
      <c r="D1653" s="631"/>
      <c r="E1653" s="631"/>
      <c r="F1653" s="631"/>
      <c r="G1653" s="631"/>
      <c r="H1653" s="631"/>
      <c r="I1653" s="631"/>
      <c r="J1653" s="631"/>
      <c r="K1653" s="631"/>
      <c r="L1653" s="631"/>
      <c r="M1653" s="632"/>
      <c r="N1653" s="545">
        <f>'[1]4.NERACA'!I153</f>
        <v>-2210424.5</v>
      </c>
      <c r="O1653" s="546"/>
      <c r="P1653" s="546"/>
      <c r="Q1653" s="546"/>
      <c r="R1653" s="546"/>
      <c r="S1653" s="546"/>
      <c r="T1653" s="546"/>
      <c r="U1653" s="633"/>
      <c r="V1653" s="23"/>
    </row>
    <row r="1654" spans="1:32" s="16" customFormat="1" ht="23.25" customHeight="1" x14ac:dyDescent="0.2">
      <c r="A1654" s="11"/>
      <c r="B1654" s="634" t="s">
        <v>205</v>
      </c>
      <c r="C1654" s="635"/>
      <c r="D1654" s="635"/>
      <c r="E1654" s="635"/>
      <c r="F1654" s="635"/>
      <c r="G1654" s="635"/>
      <c r="H1654" s="635"/>
      <c r="I1654" s="635"/>
      <c r="J1654" s="635"/>
      <c r="K1654" s="635"/>
      <c r="L1654" s="635"/>
      <c r="M1654" s="636"/>
      <c r="N1654" s="637">
        <f>SUM(N1648:U1653)</f>
        <v>2210424.5</v>
      </c>
      <c r="O1654" s="638"/>
      <c r="P1654" s="638"/>
      <c r="Q1654" s="638"/>
      <c r="R1654" s="638"/>
      <c r="S1654" s="638"/>
      <c r="T1654" s="638"/>
      <c r="U1654" s="639"/>
      <c r="V1654" s="23"/>
    </row>
    <row r="1655" spans="1:32" s="16" customFormat="1" ht="21.75" customHeight="1" x14ac:dyDescent="0.2">
      <c r="A1655" s="11"/>
      <c r="B1655" s="63"/>
      <c r="C1655" s="219"/>
      <c r="D1655" s="219"/>
      <c r="E1655" s="219"/>
      <c r="F1655" s="219"/>
      <c r="G1655" s="219"/>
      <c r="H1655" s="219"/>
      <c r="I1655" s="219"/>
      <c r="J1655" s="219"/>
      <c r="K1655" s="219"/>
      <c r="L1655" s="219"/>
      <c r="M1655" s="219"/>
      <c r="N1655" s="219"/>
      <c r="O1655" s="219"/>
      <c r="P1655" s="219"/>
      <c r="Q1655" s="219"/>
      <c r="R1655" s="219"/>
      <c r="S1655" s="219"/>
      <c r="T1655" s="219"/>
      <c r="U1655" s="219"/>
      <c r="V1655" s="23"/>
    </row>
    <row r="1656" spans="1:32" s="16" customFormat="1" ht="22.5" customHeight="1" x14ac:dyDescent="0.2">
      <c r="A1656" s="11"/>
      <c r="B1656" s="629" t="s">
        <v>515</v>
      </c>
      <c r="C1656" s="629"/>
      <c r="D1656" s="629"/>
      <c r="E1656" s="629"/>
      <c r="F1656" s="629"/>
      <c r="G1656" s="629"/>
      <c r="H1656" s="629"/>
      <c r="I1656" s="629"/>
      <c r="J1656" s="629"/>
      <c r="K1656" s="629"/>
      <c r="L1656" s="629"/>
      <c r="M1656" s="629"/>
      <c r="N1656" s="629"/>
      <c r="O1656" s="629"/>
      <c r="P1656" s="629"/>
      <c r="Q1656" s="629"/>
      <c r="R1656" s="629"/>
      <c r="S1656" s="629"/>
      <c r="T1656" s="629"/>
      <c r="U1656" s="629"/>
      <c r="V1656" s="23"/>
    </row>
    <row r="1657" spans="1:32" s="16" customFormat="1" ht="17.25" customHeight="1" x14ac:dyDescent="0.2">
      <c r="A1657" s="11"/>
      <c r="B1657" s="407" t="str">
        <f>"Saldo Aset Lain-lain per "&amp;'[1]2.ISIAN DATA SKPD'!D8&amp;" dan "&amp;'[1]2.ISIAN DATA SKPD'!D12&amp;" adalah Rp. "&amp;FIXED(R1662)&amp;""</f>
        <v>Saldo Aset Lain-lain per 31 Desember 2018 dan 2017 adalah Rp. 26.625.256,00</v>
      </c>
      <c r="C1657" s="407"/>
      <c r="D1657" s="407"/>
      <c r="E1657" s="407"/>
      <c r="F1657" s="407"/>
      <c r="G1657" s="407"/>
      <c r="H1657" s="407"/>
      <c r="I1657" s="407"/>
      <c r="J1657" s="407"/>
      <c r="K1657" s="407"/>
      <c r="L1657" s="407"/>
      <c r="M1657" s="407"/>
      <c r="N1657" s="407"/>
      <c r="O1657" s="407"/>
      <c r="P1657" s="407"/>
      <c r="Q1657" s="407"/>
      <c r="R1657" s="407"/>
      <c r="S1657" s="407"/>
      <c r="T1657" s="407"/>
      <c r="U1657" s="407"/>
      <c r="V1657" s="23"/>
    </row>
    <row r="1658" spans="1:32" s="16" customFormat="1" ht="48" customHeight="1" x14ac:dyDescent="0.2">
      <c r="A1658" s="11"/>
      <c r="B1658" s="407" t="s">
        <v>516</v>
      </c>
      <c r="C1658" s="407"/>
      <c r="D1658" s="407"/>
      <c r="E1658" s="407"/>
      <c r="F1658" s="407"/>
      <c r="G1658" s="407"/>
      <c r="H1658" s="407"/>
      <c r="I1658" s="407"/>
      <c r="J1658" s="407"/>
      <c r="K1658" s="407"/>
      <c r="L1658" s="407"/>
      <c r="M1658" s="407"/>
      <c r="N1658" s="407"/>
      <c r="O1658" s="407"/>
      <c r="P1658" s="407"/>
      <c r="Q1658" s="407"/>
      <c r="R1658" s="407"/>
      <c r="S1658" s="407"/>
      <c r="T1658" s="407"/>
      <c r="U1658" s="407"/>
      <c r="V1658" s="23"/>
    </row>
    <row r="1659" spans="1:32" s="16" customFormat="1" ht="22.5" customHeight="1" x14ac:dyDescent="0.2">
      <c r="A1659" s="11"/>
      <c r="B1659" s="77"/>
      <c r="C1659" s="77"/>
      <c r="D1659" s="77"/>
      <c r="E1659" s="77"/>
      <c r="F1659" s="77"/>
      <c r="G1659" s="77"/>
      <c r="H1659" s="77"/>
      <c r="I1659" s="77"/>
      <c r="J1659" s="77"/>
      <c r="K1659" s="77"/>
      <c r="L1659" s="77"/>
      <c r="M1659" s="77"/>
      <c r="N1659" s="77"/>
      <c r="O1659" s="77"/>
      <c r="P1659" s="77"/>
      <c r="Q1659" s="77"/>
      <c r="R1659" s="77"/>
      <c r="S1659" s="77"/>
      <c r="T1659" s="37"/>
      <c r="U1659" s="37"/>
      <c r="V1659" s="23"/>
    </row>
    <row r="1660" spans="1:32" s="16" customFormat="1" ht="12.75" customHeight="1" x14ac:dyDescent="0.2">
      <c r="A1660" s="567" t="s">
        <v>125</v>
      </c>
      <c r="B1660" s="602" t="s">
        <v>443</v>
      </c>
      <c r="C1660" s="603"/>
      <c r="D1660" s="603"/>
      <c r="E1660" s="604"/>
      <c r="F1660" s="605" t="s">
        <v>444</v>
      </c>
      <c r="G1660" s="605"/>
      <c r="H1660" s="605"/>
      <c r="I1660" s="605"/>
      <c r="J1660" s="605"/>
      <c r="K1660" s="605"/>
      <c r="L1660" s="605" t="s">
        <v>445</v>
      </c>
      <c r="M1660" s="605"/>
      <c r="N1660" s="605"/>
      <c r="O1660" s="605"/>
      <c r="P1660" s="605"/>
      <c r="Q1660" s="605"/>
      <c r="R1660" s="600" t="s">
        <v>446</v>
      </c>
      <c r="S1660" s="600"/>
      <c r="T1660" s="600"/>
      <c r="U1660" s="600"/>
      <c r="V1660" s="23"/>
    </row>
    <row r="1661" spans="1:32" s="16" customFormat="1" ht="13.5" customHeight="1" x14ac:dyDescent="0.2">
      <c r="A1661" s="568"/>
      <c r="B1661" s="616">
        <f>B1407</f>
        <v>2017</v>
      </c>
      <c r="C1661" s="617"/>
      <c r="D1661" s="617"/>
      <c r="E1661" s="618"/>
      <c r="F1661" s="600" t="s">
        <v>447</v>
      </c>
      <c r="G1661" s="600"/>
      <c r="H1661" s="600"/>
      <c r="I1661" s="599" t="s">
        <v>448</v>
      </c>
      <c r="J1661" s="599"/>
      <c r="K1661" s="599"/>
      <c r="L1661" s="600" t="s">
        <v>447</v>
      </c>
      <c r="M1661" s="600"/>
      <c r="N1661" s="600"/>
      <c r="O1661" s="601" t="s">
        <v>448</v>
      </c>
      <c r="P1661" s="601"/>
      <c r="Q1661" s="601"/>
      <c r="R1661" s="616">
        <f>R1407</f>
        <v>2018</v>
      </c>
      <c r="S1661" s="617"/>
      <c r="T1661" s="617"/>
      <c r="U1661" s="618"/>
      <c r="V1661" s="487"/>
      <c r="W1661" s="480"/>
      <c r="X1661" s="480"/>
      <c r="Y1661" s="471" t="s">
        <v>449</v>
      </c>
      <c r="Z1661" s="480"/>
      <c r="AA1661" s="480"/>
      <c r="AB1661" s="480"/>
      <c r="AC1661" s="488" t="s">
        <v>438</v>
      </c>
      <c r="AD1661" s="489"/>
      <c r="AE1661" s="489"/>
      <c r="AF1661" s="489"/>
    </row>
    <row r="1662" spans="1:32" s="16" customFormat="1" ht="29.25" customHeight="1" x14ac:dyDescent="0.2">
      <c r="A1662" s="200" t="s">
        <v>517</v>
      </c>
      <c r="B1662" s="580">
        <f>'[1]4.NERACA'!D154</f>
        <v>26625256</v>
      </c>
      <c r="C1662" s="581"/>
      <c r="D1662" s="581"/>
      <c r="E1662" s="582"/>
      <c r="F1662" s="583">
        <f>'[1]4.NERACA'!E154</f>
        <v>0</v>
      </c>
      <c r="G1662" s="583"/>
      <c r="H1662" s="583"/>
      <c r="I1662" s="561">
        <f>'[1]4.NERACA'!F154</f>
        <v>0</v>
      </c>
      <c r="J1662" s="561"/>
      <c r="K1662" s="561"/>
      <c r="L1662" s="583">
        <f>'[1]4.NERACA'!G154</f>
        <v>0</v>
      </c>
      <c r="M1662" s="583"/>
      <c r="N1662" s="583"/>
      <c r="O1662" s="583">
        <f>'[1]4.NERACA'!H154</f>
        <v>0</v>
      </c>
      <c r="P1662" s="583"/>
      <c r="Q1662" s="583"/>
      <c r="R1662" s="583">
        <f>B1662++F1662-I1662+L1662-O1662</f>
        <v>26625256</v>
      </c>
      <c r="S1662" s="583"/>
      <c r="T1662" s="583"/>
      <c r="U1662" s="583"/>
      <c r="V1662" s="479"/>
      <c r="W1662" s="480"/>
      <c r="X1662" s="480"/>
      <c r="Y1662" s="471">
        <v>0</v>
      </c>
      <c r="Z1662" s="480"/>
      <c r="AA1662" s="480"/>
      <c r="AB1662" s="480"/>
      <c r="AC1662" s="471">
        <f>R1662-B1662</f>
        <v>0</v>
      </c>
      <c r="AD1662" s="472"/>
      <c r="AE1662" s="472"/>
      <c r="AF1662" s="472"/>
    </row>
    <row r="1663" spans="1:32" s="16" customFormat="1" ht="12" customHeight="1" x14ac:dyDescent="0.2">
      <c r="A1663" s="11"/>
      <c r="B1663" s="626"/>
      <c r="C1663" s="626"/>
      <c r="D1663" s="626"/>
      <c r="E1663" s="626"/>
      <c r="F1663" s="626"/>
      <c r="G1663" s="626"/>
      <c r="H1663" s="626"/>
      <c r="I1663" s="626"/>
      <c r="J1663" s="626"/>
      <c r="K1663" s="626"/>
      <c r="L1663" s="626"/>
      <c r="M1663" s="626"/>
      <c r="N1663" s="627"/>
      <c r="O1663" s="627"/>
      <c r="P1663" s="627"/>
      <c r="Q1663" s="627"/>
      <c r="R1663" s="627"/>
      <c r="S1663" s="627"/>
      <c r="T1663" s="627"/>
      <c r="U1663" s="627"/>
      <c r="V1663" s="23"/>
    </row>
    <row r="1664" spans="1:32" s="16" customFormat="1" ht="32.25" customHeight="1" x14ac:dyDescent="0.2">
      <c r="A1664" s="21"/>
      <c r="B1664" s="407" t="s">
        <v>518</v>
      </c>
      <c r="C1664" s="407"/>
      <c r="D1664" s="407"/>
      <c r="E1664" s="407"/>
      <c r="F1664" s="407"/>
      <c r="G1664" s="407"/>
      <c r="H1664" s="407"/>
      <c r="I1664" s="407"/>
      <c r="J1664" s="407"/>
      <c r="K1664" s="407"/>
      <c r="L1664" s="407"/>
      <c r="M1664" s="407"/>
      <c r="N1664" s="407"/>
      <c r="O1664" s="407"/>
      <c r="P1664" s="407"/>
      <c r="Q1664" s="407"/>
      <c r="R1664" s="407"/>
      <c r="S1664" s="407"/>
      <c r="T1664" s="407"/>
      <c r="U1664" s="407"/>
      <c r="V1664" s="628"/>
      <c r="W1664" s="628"/>
      <c r="X1664" s="628"/>
      <c r="Y1664" s="628"/>
      <c r="Z1664" s="628"/>
      <c r="AA1664" s="628"/>
      <c r="AB1664" s="628"/>
      <c r="AC1664" s="628"/>
      <c r="AD1664" s="628"/>
      <c r="AE1664" s="628"/>
    </row>
    <row r="1665" spans="1:22" s="16" customFormat="1" ht="18" customHeight="1" x14ac:dyDescent="0.2">
      <c r="A1665" s="21"/>
      <c r="B1665" s="63"/>
      <c r="C1665" s="63"/>
      <c r="D1665" s="63"/>
      <c r="E1665" s="63"/>
      <c r="F1665" s="63"/>
      <c r="G1665" s="63"/>
      <c r="H1665" s="63"/>
      <c r="I1665" s="63"/>
      <c r="J1665" s="133"/>
      <c r="K1665" s="133"/>
      <c r="L1665" s="133"/>
      <c r="M1665" s="133"/>
      <c r="N1665" s="133"/>
      <c r="O1665" s="133"/>
      <c r="P1665" s="133"/>
      <c r="Q1665" s="133"/>
      <c r="R1665" s="133"/>
      <c r="S1665" s="133"/>
      <c r="T1665" s="134"/>
      <c r="U1665" s="134"/>
      <c r="V1665" s="23"/>
    </row>
    <row r="1666" spans="1:22" s="16" customFormat="1" ht="18.75" customHeight="1" x14ac:dyDescent="0.2">
      <c r="A1666" s="11"/>
      <c r="B1666" s="7" t="s">
        <v>519</v>
      </c>
      <c r="C1666" s="411" t="s">
        <v>520</v>
      </c>
      <c r="D1666" s="411"/>
      <c r="E1666" s="411"/>
      <c r="F1666" s="411"/>
      <c r="G1666" s="411"/>
      <c r="H1666" s="411"/>
      <c r="I1666" s="411"/>
      <c r="J1666" s="411"/>
      <c r="K1666" s="411"/>
      <c r="L1666" s="411"/>
      <c r="M1666" s="411"/>
      <c r="N1666" s="411"/>
      <c r="O1666" s="411"/>
      <c r="P1666" s="411"/>
      <c r="Q1666" s="411"/>
      <c r="R1666" s="411"/>
      <c r="S1666" s="411"/>
      <c r="T1666" s="411"/>
      <c r="U1666" s="411"/>
      <c r="V1666" s="23"/>
    </row>
    <row r="1667" spans="1:22" s="16" customFormat="1" ht="56.25" customHeight="1" x14ac:dyDescent="0.2">
      <c r="A1667" s="11"/>
      <c r="C1667" s="402" t="str">
        <f>"Saldo Kewajiban per "&amp;'[1]2.ISIAN DATA SKPD'!D8&amp;" dan "&amp;'[1]2.ISIAN DATA SKPD'!D12&amp;" adalah Rp. "&amp;FIXED('[1]4.NERACA'!I156)&amp;" dan Rp. "&amp;FIXED('[1]4.NERACA'!D156)&amp;" mengalami kenaikan sebesar Rp. "&amp;FIXED('[1]4.NERACA'!K156)&amp;" atau sebesar "&amp;FIXED('[1]4.NERACA'!J156)&amp;"% dari tahun "&amp;'[1]2.ISIAN DATA SKPD'!D12&amp;"."</f>
        <v>Saldo Kewajiban per 31 Desember 2018 dan 2017 adalah Rp. 9.147.040,00 dan Rp. 3.026.308,00 mengalami kenaikan sebesar Rp. 6.120.732,00 atau sebesar 202,25% dari tahun 2017.</v>
      </c>
      <c r="D1667" s="402"/>
      <c r="E1667" s="402"/>
      <c r="F1667" s="402"/>
      <c r="G1667" s="402"/>
      <c r="H1667" s="402"/>
      <c r="I1667" s="402"/>
      <c r="J1667" s="402"/>
      <c r="K1667" s="402"/>
      <c r="L1667" s="402"/>
      <c r="M1667" s="402"/>
      <c r="N1667" s="402"/>
      <c r="O1667" s="402"/>
      <c r="P1667" s="402"/>
      <c r="Q1667" s="402"/>
      <c r="R1667" s="402"/>
      <c r="S1667" s="402"/>
      <c r="T1667" s="402"/>
      <c r="U1667" s="402"/>
      <c r="V1667" s="23"/>
    </row>
    <row r="1668" spans="1:22" s="16" customFormat="1" ht="18.75" customHeight="1" x14ac:dyDescent="0.2">
      <c r="A1668" s="11"/>
      <c r="B1668" s="7" t="s">
        <v>521</v>
      </c>
      <c r="C1668" s="158"/>
      <c r="D1668" s="158"/>
      <c r="E1668" s="158"/>
      <c r="F1668" s="158"/>
      <c r="G1668" s="158"/>
      <c r="H1668" s="158"/>
      <c r="I1668" s="158"/>
      <c r="J1668" s="158"/>
      <c r="K1668" s="158"/>
      <c r="L1668" s="158"/>
      <c r="M1668" s="158"/>
      <c r="N1668" s="158"/>
      <c r="O1668" s="158"/>
      <c r="P1668" s="158"/>
      <c r="Q1668" s="158"/>
      <c r="R1668" s="158"/>
      <c r="S1668" s="158"/>
      <c r="T1668" s="158"/>
      <c r="U1668" s="158"/>
      <c r="V1668" s="23"/>
    </row>
    <row r="1669" spans="1:22" s="16" customFormat="1" ht="60.75" customHeight="1" x14ac:dyDescent="0.2">
      <c r="A1669" s="11"/>
      <c r="C1669" s="402" t="str">
        <f>"Saldo Kewajiban Jangka Pendek per "&amp;'[1]2.ISIAN DATA SKPD'!D8&amp;" dan "&amp;'[1]2.ISIAN DATA SKPD'!D12&amp;" adalah Rp. "&amp;FIXED('[1]4.NERACA'!I157)&amp;" dan Rp. "&amp;FIXED('[1]4.NERACA'!D157)&amp;" mengalami kenaikan sebesar Rp. "&amp;FIXED('[1]4.NERACA'!K157)&amp;" atau sebesar "&amp;FIXED('[1]4.NERACA'!J157)&amp;"% dari tahun "&amp;'[1]2.ISIAN DATA SKPD'!D12&amp;"."</f>
        <v>Saldo Kewajiban Jangka Pendek per 31 Desember 2018 dan 2017 adalah Rp. 9.147.040,00 dan Rp. 3.026.308,00 mengalami kenaikan sebesar Rp. 6.120.732,00 atau sebesar 202,25% dari tahun 2017.</v>
      </c>
      <c r="D1669" s="402"/>
      <c r="E1669" s="402"/>
      <c r="F1669" s="402"/>
      <c r="G1669" s="402"/>
      <c r="H1669" s="402"/>
      <c r="I1669" s="402"/>
      <c r="J1669" s="402"/>
      <c r="K1669" s="402"/>
      <c r="L1669" s="402"/>
      <c r="M1669" s="402"/>
      <c r="N1669" s="402"/>
      <c r="O1669" s="402"/>
      <c r="P1669" s="402"/>
      <c r="Q1669" s="402"/>
      <c r="R1669" s="402"/>
      <c r="S1669" s="402"/>
      <c r="T1669" s="402"/>
      <c r="U1669" s="402"/>
      <c r="V1669" s="23"/>
    </row>
    <row r="1670" spans="1:22" s="16" customFormat="1" ht="23.25" customHeight="1" x14ac:dyDescent="0.2">
      <c r="A1670" s="11"/>
      <c r="C1670" s="97"/>
      <c r="D1670" s="97"/>
      <c r="E1670" s="97"/>
      <c r="F1670" s="97"/>
      <c r="G1670" s="97"/>
      <c r="H1670" s="97"/>
      <c r="I1670" s="97"/>
      <c r="J1670" s="97"/>
      <c r="K1670" s="97"/>
      <c r="L1670" s="97"/>
      <c r="M1670" s="97"/>
      <c r="N1670" s="97"/>
      <c r="O1670" s="97"/>
      <c r="P1670" s="97"/>
      <c r="Q1670" s="97"/>
      <c r="R1670" s="97"/>
      <c r="S1670" s="97"/>
      <c r="T1670" s="97"/>
      <c r="U1670" s="97"/>
      <c r="V1670" s="23"/>
    </row>
    <row r="1671" spans="1:22" s="16" customFormat="1" ht="35.25" customHeight="1" x14ac:dyDescent="0.2">
      <c r="A1671" s="11"/>
      <c r="C1671" s="402" t="str">
        <f>"Perincian saldo kewajiban per "&amp;'[1]2.ISIAN DATA SKPD'!D8&amp;" adalah sebagai berikut :"</f>
        <v>Perincian saldo kewajiban per 31 Desember 2018 adalah sebagai berikut :</v>
      </c>
      <c r="D1671" s="402"/>
      <c r="E1671" s="402"/>
      <c r="F1671" s="402"/>
      <c r="G1671" s="402"/>
      <c r="H1671" s="402"/>
      <c r="I1671" s="402"/>
      <c r="J1671" s="402"/>
      <c r="K1671" s="402"/>
      <c r="L1671" s="402"/>
      <c r="M1671" s="402"/>
      <c r="N1671" s="402"/>
      <c r="O1671" s="402"/>
      <c r="P1671" s="402"/>
      <c r="Q1671" s="402"/>
      <c r="R1671" s="402"/>
      <c r="S1671" s="402"/>
      <c r="T1671" s="402"/>
      <c r="U1671" s="402"/>
      <c r="V1671" s="23"/>
    </row>
    <row r="1672" spans="1:22" s="16" customFormat="1" ht="18.75" customHeight="1" x14ac:dyDescent="0.2">
      <c r="A1672" s="11"/>
      <c r="B1672" s="77"/>
      <c r="C1672" s="77"/>
      <c r="D1672" s="77"/>
      <c r="E1672" s="77"/>
      <c r="F1672" s="77"/>
      <c r="G1672" s="77"/>
      <c r="H1672" s="77"/>
      <c r="I1672" s="77"/>
      <c r="J1672" s="77"/>
      <c r="K1672" s="77"/>
      <c r="L1672" s="77"/>
      <c r="M1672" s="77"/>
      <c r="N1672" s="77"/>
      <c r="O1672" s="77"/>
      <c r="P1672" s="77"/>
      <c r="Q1672" s="77"/>
      <c r="R1672" s="77"/>
      <c r="S1672" s="77"/>
      <c r="T1672" s="77"/>
      <c r="U1672" s="77"/>
      <c r="V1672" s="23"/>
    </row>
    <row r="1673" spans="1:22" s="16" customFormat="1" ht="17.25" customHeight="1" x14ac:dyDescent="0.2">
      <c r="A1673" s="11"/>
      <c r="B1673" s="221" t="s">
        <v>209</v>
      </c>
      <c r="C1673" s="425" t="s">
        <v>125</v>
      </c>
      <c r="D1673" s="426"/>
      <c r="E1673" s="426"/>
      <c r="F1673" s="426"/>
      <c r="G1673" s="426"/>
      <c r="H1673" s="426"/>
      <c r="I1673" s="426"/>
      <c r="J1673" s="426"/>
      <c r="K1673" s="426"/>
      <c r="L1673" s="426"/>
      <c r="M1673" s="427"/>
      <c r="N1673" s="428" t="s">
        <v>205</v>
      </c>
      <c r="O1673" s="428"/>
      <c r="P1673" s="428"/>
      <c r="Q1673" s="428"/>
      <c r="R1673" s="428"/>
      <c r="S1673" s="428"/>
      <c r="T1673" s="428"/>
      <c r="U1673" s="428"/>
      <c r="V1673" s="23"/>
    </row>
    <row r="1674" spans="1:22" s="16" customFormat="1" ht="17.25" customHeight="1" x14ac:dyDescent="0.2">
      <c r="A1674" s="11"/>
      <c r="B1674" s="237">
        <v>1</v>
      </c>
      <c r="C1674" s="619" t="s">
        <v>19</v>
      </c>
      <c r="D1674" s="620"/>
      <c r="E1674" s="620"/>
      <c r="F1674" s="620"/>
      <c r="G1674" s="620"/>
      <c r="H1674" s="620"/>
      <c r="I1674" s="620"/>
      <c r="J1674" s="620"/>
      <c r="K1674" s="620"/>
      <c r="L1674" s="620"/>
      <c r="M1674" s="621"/>
      <c r="N1674" s="622">
        <f>'[1]4.NERACA'!I158</f>
        <v>0</v>
      </c>
      <c r="O1674" s="623"/>
      <c r="P1674" s="623"/>
      <c r="Q1674" s="623"/>
      <c r="R1674" s="623"/>
      <c r="S1674" s="623"/>
      <c r="T1674" s="623"/>
      <c r="U1674" s="623"/>
      <c r="V1674" s="23"/>
    </row>
    <row r="1675" spans="1:22" s="16" customFormat="1" ht="17.25" customHeight="1" x14ac:dyDescent="0.2">
      <c r="A1675" s="11"/>
      <c r="B1675" s="237">
        <f>B1674+1</f>
        <v>2</v>
      </c>
      <c r="C1675" s="619" t="s">
        <v>20</v>
      </c>
      <c r="D1675" s="620"/>
      <c r="E1675" s="620"/>
      <c r="F1675" s="620"/>
      <c r="G1675" s="620"/>
      <c r="H1675" s="620"/>
      <c r="I1675" s="620"/>
      <c r="J1675" s="620"/>
      <c r="K1675" s="620"/>
      <c r="L1675" s="620"/>
      <c r="M1675" s="621"/>
      <c r="N1675" s="622">
        <f>'[1]4.NERACA'!I167</f>
        <v>0</v>
      </c>
      <c r="O1675" s="623"/>
      <c r="P1675" s="623"/>
      <c r="Q1675" s="623"/>
      <c r="R1675" s="623"/>
      <c r="S1675" s="623"/>
      <c r="T1675" s="623"/>
      <c r="U1675" s="623"/>
      <c r="V1675" s="23"/>
    </row>
    <row r="1676" spans="1:22" s="16" customFormat="1" ht="17.25" customHeight="1" x14ac:dyDescent="0.2">
      <c r="A1676" s="11"/>
      <c r="B1676" s="237">
        <f>B1675+1</f>
        <v>3</v>
      </c>
      <c r="C1676" s="619" t="s">
        <v>522</v>
      </c>
      <c r="D1676" s="620"/>
      <c r="E1676" s="620"/>
      <c r="F1676" s="620"/>
      <c r="G1676" s="620"/>
      <c r="H1676" s="620"/>
      <c r="I1676" s="620"/>
      <c r="J1676" s="620"/>
      <c r="K1676" s="620"/>
      <c r="L1676" s="620"/>
      <c r="M1676" s="621"/>
      <c r="N1676" s="622">
        <f>'[1]4.NERACA'!I174</f>
        <v>0</v>
      </c>
      <c r="O1676" s="623"/>
      <c r="P1676" s="623"/>
      <c r="Q1676" s="623"/>
      <c r="R1676" s="623"/>
      <c r="S1676" s="623"/>
      <c r="T1676" s="623"/>
      <c r="U1676" s="623"/>
      <c r="V1676" s="23"/>
    </row>
    <row r="1677" spans="1:22" s="16" customFormat="1" ht="17.25" customHeight="1" x14ac:dyDescent="0.2">
      <c r="A1677" s="11"/>
      <c r="B1677" s="237">
        <f>B1676+1</f>
        <v>4</v>
      </c>
      <c r="C1677" s="619" t="s">
        <v>21</v>
      </c>
      <c r="D1677" s="620"/>
      <c r="E1677" s="620"/>
      <c r="F1677" s="620"/>
      <c r="G1677" s="620"/>
      <c r="H1677" s="620"/>
      <c r="I1677" s="620"/>
      <c r="J1677" s="620"/>
      <c r="K1677" s="620"/>
      <c r="L1677" s="620"/>
      <c r="M1677" s="621"/>
      <c r="N1677" s="622">
        <f>'[1]4.NERACA'!I180</f>
        <v>256000</v>
      </c>
      <c r="O1677" s="623"/>
      <c r="P1677" s="623"/>
      <c r="Q1677" s="623"/>
      <c r="R1677" s="623"/>
      <c r="S1677" s="623"/>
      <c r="T1677" s="623"/>
      <c r="U1677" s="623"/>
      <c r="V1677" s="23"/>
    </row>
    <row r="1678" spans="1:22" s="16" customFormat="1" ht="17.25" customHeight="1" x14ac:dyDescent="0.2">
      <c r="A1678" s="11"/>
      <c r="B1678" s="237">
        <f>B1677+1</f>
        <v>5</v>
      </c>
      <c r="C1678" s="619" t="s">
        <v>33</v>
      </c>
      <c r="D1678" s="620"/>
      <c r="E1678" s="620"/>
      <c r="F1678" s="620"/>
      <c r="G1678" s="620"/>
      <c r="H1678" s="620"/>
      <c r="I1678" s="620"/>
      <c r="J1678" s="620"/>
      <c r="K1678" s="620"/>
      <c r="L1678" s="620"/>
      <c r="M1678" s="621"/>
      <c r="N1678" s="622">
        <f>'[1]4.NERACA'!I185</f>
        <v>8891040</v>
      </c>
      <c r="O1678" s="623"/>
      <c r="P1678" s="623"/>
      <c r="Q1678" s="623"/>
      <c r="R1678" s="623"/>
      <c r="S1678" s="623"/>
      <c r="T1678" s="623"/>
      <c r="U1678" s="623"/>
      <c r="V1678" s="23"/>
    </row>
    <row r="1679" spans="1:22" s="16" customFormat="1" ht="17.25" customHeight="1" x14ac:dyDescent="0.2">
      <c r="A1679" s="11"/>
      <c r="B1679" s="237">
        <f>B1678+1</f>
        <v>6</v>
      </c>
      <c r="C1679" s="619" t="s">
        <v>22</v>
      </c>
      <c r="D1679" s="620"/>
      <c r="E1679" s="620"/>
      <c r="F1679" s="620"/>
      <c r="G1679" s="620"/>
      <c r="H1679" s="620"/>
      <c r="I1679" s="620"/>
      <c r="J1679" s="620"/>
      <c r="K1679" s="620"/>
      <c r="L1679" s="620"/>
      <c r="M1679" s="621"/>
      <c r="N1679" s="622">
        <f>'[1]4.NERACA'!I192</f>
        <v>0</v>
      </c>
      <c r="O1679" s="623"/>
      <c r="P1679" s="623"/>
      <c r="Q1679" s="623"/>
      <c r="R1679" s="623"/>
      <c r="S1679" s="623"/>
      <c r="T1679" s="623"/>
      <c r="U1679" s="623"/>
      <c r="V1679" s="23"/>
    </row>
    <row r="1680" spans="1:22" s="16" customFormat="1" ht="17.25" customHeight="1" x14ac:dyDescent="0.2">
      <c r="A1680" s="11"/>
      <c r="B1680" s="481" t="s">
        <v>523</v>
      </c>
      <c r="C1680" s="482"/>
      <c r="D1680" s="482"/>
      <c r="E1680" s="482"/>
      <c r="F1680" s="482"/>
      <c r="G1680" s="482"/>
      <c r="H1680" s="482"/>
      <c r="I1680" s="482"/>
      <c r="J1680" s="482"/>
      <c r="K1680" s="482"/>
      <c r="L1680" s="482"/>
      <c r="M1680" s="483"/>
      <c r="N1680" s="624">
        <f>SUM(N1674:U1679)</f>
        <v>9147040</v>
      </c>
      <c r="O1680" s="625"/>
      <c r="P1680" s="625"/>
      <c r="Q1680" s="625"/>
      <c r="R1680" s="625"/>
      <c r="S1680" s="625"/>
      <c r="T1680" s="625"/>
      <c r="U1680" s="625"/>
    </row>
    <row r="1681" spans="1:32" s="16" customFormat="1" ht="17.25" customHeight="1" x14ac:dyDescent="0.2">
      <c r="A1681" s="11"/>
      <c r="B1681" s="83"/>
      <c r="C1681" s="83"/>
      <c r="D1681" s="83"/>
      <c r="E1681" s="83"/>
      <c r="F1681" s="83"/>
      <c r="G1681" s="83"/>
      <c r="H1681" s="83"/>
      <c r="I1681" s="83"/>
      <c r="J1681" s="83"/>
      <c r="K1681" s="83"/>
      <c r="L1681" s="83"/>
      <c r="M1681" s="83"/>
      <c r="N1681" s="238"/>
      <c r="O1681" s="83"/>
      <c r="P1681" s="83"/>
      <c r="Q1681" s="83"/>
      <c r="R1681" s="83"/>
      <c r="S1681" s="83"/>
      <c r="T1681" s="83"/>
      <c r="U1681" s="83"/>
      <c r="V1681" s="23"/>
    </row>
    <row r="1682" spans="1:32" s="16" customFormat="1" ht="18" customHeight="1" x14ac:dyDescent="0.2">
      <c r="A1682" s="11"/>
      <c r="B1682" s="239"/>
      <c r="C1682" s="411" t="s">
        <v>524</v>
      </c>
      <c r="D1682" s="411"/>
      <c r="E1682" s="411"/>
      <c r="F1682" s="411"/>
      <c r="G1682" s="411"/>
      <c r="H1682" s="411"/>
      <c r="I1682" s="411"/>
      <c r="J1682" s="411"/>
      <c r="K1682" s="411"/>
      <c r="L1682" s="411"/>
      <c r="M1682" s="411"/>
      <c r="N1682" s="411"/>
      <c r="O1682" s="411"/>
      <c r="P1682" s="411"/>
      <c r="Q1682" s="411"/>
      <c r="R1682" s="411"/>
      <c r="S1682" s="411"/>
      <c r="T1682" s="411"/>
      <c r="U1682" s="411"/>
      <c r="V1682" s="23"/>
    </row>
    <row r="1683" spans="1:32" s="16" customFormat="1" ht="30.75" customHeight="1" x14ac:dyDescent="0.2">
      <c r="A1683" s="11"/>
      <c r="C1683" s="407" t="str">
        <f>"Nilai Utang kepada pihak ketiga per "&amp;'[1]2.ISIAN DATA SKPD'!D8&amp;" dan "&amp;'[1]2.ISIAN DATA SKPD'!D12&amp;" masing-masing sebesar Rp. "&amp;FIXED(R1696)&amp;"0"</f>
        <v>Nilai Utang kepada pihak ketiga per 31 Desember 2018 dan 2017 masing-masing sebesar Rp. 0,000</v>
      </c>
      <c r="D1683" s="407"/>
      <c r="E1683" s="407"/>
      <c r="F1683" s="407"/>
      <c r="G1683" s="407"/>
      <c r="H1683" s="407"/>
      <c r="I1683" s="407"/>
      <c r="J1683" s="407"/>
      <c r="K1683" s="407"/>
      <c r="L1683" s="407"/>
      <c r="M1683" s="407"/>
      <c r="N1683" s="407"/>
      <c r="O1683" s="407"/>
      <c r="P1683" s="407"/>
      <c r="Q1683" s="407"/>
      <c r="R1683" s="407"/>
      <c r="S1683" s="407"/>
      <c r="T1683" s="407"/>
      <c r="U1683" s="407"/>
      <c r="V1683" s="23"/>
    </row>
    <row r="1684" spans="1:32" s="16" customFormat="1" ht="84" customHeight="1" x14ac:dyDescent="0.2">
      <c r="A1684" s="11"/>
      <c r="C1684" s="407" t="str">
        <f>"Utang kepada Pihak Ketiga merupakan kewajiban yang masih harus dibayar dan segera diselesaikan kepada pihak ketiga lainnya dalam waktu kurang dari 12 (dua belas bulan) sejak tanggal pelaporan. Adapun rincian Utang Pihak Ketiga pada "&amp;'[1]2.ISIAN DATA SKPD'!D2&amp;" per tanggal pelaporan adalah sebagai berikut: "</f>
        <v xml:space="preserve">Utang kepada Pihak Ketiga merupakan kewajiban yang masih harus dibayar dan segera diselesaikan kepada pihak ketiga lainnya dalam waktu kurang dari 12 (dua belas bulan) sejak tanggal pelaporan. Adapun rincian Utang Pihak Ketiga pada Dinas Pariwisata Dan Kebudayaan per tanggal pelaporan adalah sebagai berikut: </v>
      </c>
      <c r="D1684" s="407"/>
      <c r="E1684" s="407"/>
      <c r="F1684" s="407"/>
      <c r="G1684" s="407"/>
      <c r="H1684" s="407"/>
      <c r="I1684" s="407"/>
      <c r="J1684" s="407"/>
      <c r="K1684" s="407"/>
      <c r="L1684" s="407"/>
      <c r="M1684" s="407"/>
      <c r="N1684" s="407"/>
      <c r="O1684" s="407"/>
      <c r="P1684" s="407"/>
      <c r="Q1684" s="407"/>
      <c r="R1684" s="407"/>
      <c r="S1684" s="407"/>
      <c r="T1684" s="407"/>
      <c r="U1684" s="407"/>
      <c r="V1684" s="23"/>
    </row>
    <row r="1685" spans="1:32" s="16" customFormat="1" ht="15.75" customHeight="1" x14ac:dyDescent="0.2">
      <c r="A1685" s="11"/>
      <c r="C1685" s="225"/>
      <c r="D1685" s="225"/>
      <c r="E1685" s="225"/>
      <c r="F1685" s="225"/>
      <c r="G1685" s="225"/>
      <c r="H1685" s="225"/>
      <c r="I1685" s="225"/>
      <c r="J1685" s="225"/>
      <c r="K1685" s="225"/>
      <c r="L1685" s="225"/>
      <c r="M1685" s="225"/>
      <c r="N1685" s="225"/>
      <c r="O1685" s="225"/>
      <c r="P1685" s="225"/>
      <c r="Q1685" s="225"/>
      <c r="R1685" s="225"/>
      <c r="S1685" s="225"/>
      <c r="T1685" s="225"/>
      <c r="U1685" s="225"/>
      <c r="V1685" s="23"/>
    </row>
    <row r="1686" spans="1:32" s="16" customFormat="1" ht="12.75" customHeight="1" x14ac:dyDescent="0.2">
      <c r="A1686" s="567" t="s">
        <v>125</v>
      </c>
      <c r="B1686" s="569" t="s">
        <v>443</v>
      </c>
      <c r="C1686" s="570"/>
      <c r="D1686" s="570"/>
      <c r="E1686" s="571"/>
      <c r="F1686" s="572" t="s">
        <v>444</v>
      </c>
      <c r="G1686" s="572"/>
      <c r="H1686" s="572"/>
      <c r="I1686" s="572"/>
      <c r="J1686" s="572"/>
      <c r="K1686" s="572"/>
      <c r="L1686" s="572" t="s">
        <v>445</v>
      </c>
      <c r="M1686" s="572"/>
      <c r="N1686" s="572"/>
      <c r="O1686" s="572"/>
      <c r="P1686" s="572"/>
      <c r="Q1686" s="572"/>
      <c r="R1686" s="562" t="s">
        <v>446</v>
      </c>
      <c r="S1686" s="562"/>
      <c r="T1686" s="562"/>
      <c r="U1686" s="562"/>
      <c r="V1686" s="23"/>
    </row>
    <row r="1687" spans="1:32" s="16" customFormat="1" ht="12.75" customHeight="1" x14ac:dyDescent="0.2">
      <c r="A1687" s="568"/>
      <c r="B1687" s="564">
        <f>B1407</f>
        <v>2017</v>
      </c>
      <c r="C1687" s="565"/>
      <c r="D1687" s="565"/>
      <c r="E1687" s="566"/>
      <c r="F1687" s="562" t="s">
        <v>447</v>
      </c>
      <c r="G1687" s="562"/>
      <c r="H1687" s="562"/>
      <c r="I1687" s="573" t="s">
        <v>448</v>
      </c>
      <c r="J1687" s="573"/>
      <c r="K1687" s="573"/>
      <c r="L1687" s="562" t="s">
        <v>447</v>
      </c>
      <c r="M1687" s="562"/>
      <c r="N1687" s="562"/>
      <c r="O1687" s="563" t="s">
        <v>448</v>
      </c>
      <c r="P1687" s="563"/>
      <c r="Q1687" s="563"/>
      <c r="R1687" s="616">
        <f>R1407</f>
        <v>2018</v>
      </c>
      <c r="S1687" s="617"/>
      <c r="T1687" s="617"/>
      <c r="U1687" s="618"/>
      <c r="V1687" s="487"/>
      <c r="W1687" s="480"/>
      <c r="X1687" s="480"/>
      <c r="Y1687" s="471" t="s">
        <v>449</v>
      </c>
      <c r="Z1687" s="480"/>
      <c r="AA1687" s="480"/>
      <c r="AB1687" s="480"/>
      <c r="AC1687" s="488" t="s">
        <v>438</v>
      </c>
      <c r="AD1687" s="489"/>
      <c r="AE1687" s="489"/>
      <c r="AF1687" s="489"/>
    </row>
    <row r="1688" spans="1:32" s="16" customFormat="1" ht="28.5" customHeight="1" x14ac:dyDescent="0.2">
      <c r="A1688" s="240" t="str">
        <f>'[1]4.NERACA'!C159</f>
        <v>Utang Taspen</v>
      </c>
      <c r="B1688" s="580">
        <f>'[1]4.NERACA'!D159</f>
        <v>0</v>
      </c>
      <c r="C1688" s="581"/>
      <c r="D1688" s="581"/>
      <c r="E1688" s="582"/>
      <c r="F1688" s="583">
        <f>'[1]4.NERACA'!E159</f>
        <v>0</v>
      </c>
      <c r="G1688" s="583"/>
      <c r="H1688" s="583"/>
      <c r="I1688" s="561">
        <f>'[1]4.NERACA'!F159</f>
        <v>0</v>
      </c>
      <c r="J1688" s="561"/>
      <c r="K1688" s="561"/>
      <c r="L1688" s="583">
        <f>'[1]4.NERACA'!G159</f>
        <v>0</v>
      </c>
      <c r="M1688" s="583"/>
      <c r="N1688" s="583"/>
      <c r="O1688" s="583">
        <f>'[1]4.NERACA'!H159</f>
        <v>0</v>
      </c>
      <c r="P1688" s="583"/>
      <c r="Q1688" s="583"/>
      <c r="R1688" s="583">
        <f>B1688-F1688+I1688-L1688+O1688</f>
        <v>0</v>
      </c>
      <c r="S1688" s="583"/>
      <c r="T1688" s="583"/>
      <c r="U1688" s="583"/>
      <c r="V1688" s="479"/>
      <c r="W1688" s="480"/>
      <c r="X1688" s="480"/>
      <c r="Y1688" s="471" t="e">
        <f>(R1688-B1688)/B1688*100</f>
        <v>#DIV/0!</v>
      </c>
      <c r="Z1688" s="480"/>
      <c r="AA1688" s="480"/>
      <c r="AB1688" s="480"/>
      <c r="AC1688" s="471">
        <f>R1688-B1688</f>
        <v>0</v>
      </c>
      <c r="AD1688" s="472"/>
      <c r="AE1688" s="472"/>
      <c r="AF1688" s="472"/>
    </row>
    <row r="1689" spans="1:32" s="16" customFormat="1" ht="30" customHeight="1" x14ac:dyDescent="0.2">
      <c r="A1689" s="240" t="str">
        <f>'[1]4.NERACA'!C160</f>
        <v>Utang Iuran Jaminan Kesehatan</v>
      </c>
      <c r="B1689" s="580">
        <f>'[1]4.NERACA'!D160</f>
        <v>0</v>
      </c>
      <c r="C1689" s="581"/>
      <c r="D1689" s="581"/>
      <c r="E1689" s="582"/>
      <c r="F1689" s="583">
        <f>'[1]4.NERACA'!E160</f>
        <v>0</v>
      </c>
      <c r="G1689" s="583"/>
      <c r="H1689" s="583"/>
      <c r="I1689" s="561">
        <f>'[1]4.NERACA'!F160</f>
        <v>0</v>
      </c>
      <c r="J1689" s="561"/>
      <c r="K1689" s="561"/>
      <c r="L1689" s="583">
        <f>'[1]4.NERACA'!G160</f>
        <v>0</v>
      </c>
      <c r="M1689" s="583"/>
      <c r="N1689" s="583"/>
      <c r="O1689" s="583">
        <f>'[1]4.NERACA'!H160</f>
        <v>0</v>
      </c>
      <c r="P1689" s="583"/>
      <c r="Q1689" s="583"/>
      <c r="R1689" s="583">
        <f t="shared" ref="R1689:R1695" si="26">B1689-F1689+I1689-L1689+O1689</f>
        <v>0</v>
      </c>
      <c r="S1689" s="583"/>
      <c r="T1689" s="583"/>
      <c r="U1689" s="583"/>
      <c r="V1689" s="479"/>
      <c r="W1689" s="480"/>
      <c r="X1689" s="480"/>
      <c r="Y1689" s="471" t="e">
        <f t="shared" ref="Y1689:Y1696" si="27">(R1689-B1689)/B1689*100</f>
        <v>#DIV/0!</v>
      </c>
      <c r="Z1689" s="480"/>
      <c r="AA1689" s="480"/>
      <c r="AB1689" s="480"/>
      <c r="AC1689" s="471">
        <f t="shared" ref="AC1689:AC1696" si="28">R1689-B1689</f>
        <v>0</v>
      </c>
      <c r="AD1689" s="472"/>
      <c r="AE1689" s="472"/>
      <c r="AF1689" s="472"/>
    </row>
    <row r="1690" spans="1:32" s="16" customFormat="1" ht="17.25" customHeight="1" x14ac:dyDescent="0.2">
      <c r="A1690" s="240" t="str">
        <f>'[1]4.NERACA'!C161</f>
        <v>Utang PPh Pusat</v>
      </c>
      <c r="B1690" s="580">
        <f>'[1]4.NERACA'!D161</f>
        <v>0</v>
      </c>
      <c r="C1690" s="581"/>
      <c r="D1690" s="581"/>
      <c r="E1690" s="582"/>
      <c r="F1690" s="583">
        <f>'[1]4.NERACA'!E161</f>
        <v>0</v>
      </c>
      <c r="G1690" s="583"/>
      <c r="H1690" s="583"/>
      <c r="I1690" s="561">
        <f>'[1]4.NERACA'!F161</f>
        <v>0</v>
      </c>
      <c r="J1690" s="561"/>
      <c r="K1690" s="561"/>
      <c r="L1690" s="615">
        <f>'[1]4.NERACA'!G161</f>
        <v>0</v>
      </c>
      <c r="M1690" s="615"/>
      <c r="N1690" s="615"/>
      <c r="O1690" s="615">
        <f>'[1]4.NERACA'!H161</f>
        <v>0</v>
      </c>
      <c r="P1690" s="615"/>
      <c r="Q1690" s="615"/>
      <c r="R1690" s="583">
        <f t="shared" si="26"/>
        <v>0</v>
      </c>
      <c r="S1690" s="583"/>
      <c r="T1690" s="583"/>
      <c r="U1690" s="583"/>
      <c r="V1690" s="479"/>
      <c r="W1690" s="480"/>
      <c r="X1690" s="480"/>
      <c r="Y1690" s="471" t="e">
        <f t="shared" si="27"/>
        <v>#DIV/0!</v>
      </c>
      <c r="Z1690" s="480"/>
      <c r="AA1690" s="480"/>
      <c r="AB1690" s="480"/>
      <c r="AC1690" s="471">
        <f t="shared" si="28"/>
        <v>0</v>
      </c>
      <c r="AD1690" s="472"/>
      <c r="AE1690" s="472"/>
      <c r="AF1690" s="472"/>
    </row>
    <row r="1691" spans="1:32" s="16" customFormat="1" ht="32.25" customHeight="1" x14ac:dyDescent="0.2">
      <c r="A1691" s="240" t="str">
        <f>'[1]4.NERACA'!C162</f>
        <v>Utang  PPN Pusat</v>
      </c>
      <c r="B1691" s="580">
        <f>'[1]4.NERACA'!D162</f>
        <v>0</v>
      </c>
      <c r="C1691" s="581"/>
      <c r="D1691" s="581"/>
      <c r="E1691" s="582"/>
      <c r="F1691" s="583">
        <f>'[1]4.NERACA'!E162</f>
        <v>0</v>
      </c>
      <c r="G1691" s="583"/>
      <c r="H1691" s="583"/>
      <c r="I1691" s="561">
        <f>'[1]4.NERACA'!F162</f>
        <v>0</v>
      </c>
      <c r="J1691" s="561"/>
      <c r="K1691" s="561"/>
      <c r="L1691" s="615">
        <f>'[1]4.NERACA'!G162</f>
        <v>0</v>
      </c>
      <c r="M1691" s="615"/>
      <c r="N1691" s="615"/>
      <c r="O1691" s="615">
        <f>'[1]4.NERACA'!H162</f>
        <v>0</v>
      </c>
      <c r="P1691" s="615"/>
      <c r="Q1691" s="615"/>
      <c r="R1691" s="583">
        <f t="shared" si="26"/>
        <v>0</v>
      </c>
      <c r="S1691" s="583"/>
      <c r="T1691" s="583"/>
      <c r="U1691" s="583"/>
      <c r="V1691" s="479"/>
      <c r="W1691" s="480"/>
      <c r="X1691" s="480"/>
      <c r="Y1691" s="471" t="e">
        <f t="shared" si="27"/>
        <v>#DIV/0!</v>
      </c>
      <c r="Z1691" s="480"/>
      <c r="AA1691" s="480"/>
      <c r="AB1691" s="480"/>
      <c r="AC1691" s="471">
        <f t="shared" si="28"/>
        <v>0</v>
      </c>
      <c r="AD1691" s="472"/>
      <c r="AE1691" s="472"/>
      <c r="AF1691" s="472"/>
    </row>
    <row r="1692" spans="1:32" s="16" customFormat="1" ht="16.5" customHeight="1" x14ac:dyDescent="0.2">
      <c r="A1692" s="240" t="str">
        <f>'[1]4.NERACA'!C163</f>
        <v>Utang Taperum</v>
      </c>
      <c r="B1692" s="580">
        <f>'[1]4.NERACA'!D163</f>
        <v>0</v>
      </c>
      <c r="C1692" s="581"/>
      <c r="D1692" s="581"/>
      <c r="E1692" s="582"/>
      <c r="F1692" s="583">
        <f>'[1]4.NERACA'!E163</f>
        <v>0</v>
      </c>
      <c r="G1692" s="583"/>
      <c r="H1692" s="583"/>
      <c r="I1692" s="561">
        <f>'[1]4.NERACA'!F163</f>
        <v>0</v>
      </c>
      <c r="J1692" s="561"/>
      <c r="K1692" s="561"/>
      <c r="L1692" s="615">
        <f>'[1]4.NERACA'!G163</f>
        <v>0</v>
      </c>
      <c r="M1692" s="615"/>
      <c r="N1692" s="615"/>
      <c r="O1692" s="615">
        <f>'[1]4.NERACA'!H163</f>
        <v>0</v>
      </c>
      <c r="P1692" s="615"/>
      <c r="Q1692" s="615"/>
      <c r="R1692" s="583">
        <f t="shared" si="26"/>
        <v>0</v>
      </c>
      <c r="S1692" s="583"/>
      <c r="T1692" s="583"/>
      <c r="U1692" s="583"/>
      <c r="V1692" s="479"/>
      <c r="W1692" s="480"/>
      <c r="X1692" s="480"/>
      <c r="Y1692" s="471" t="e">
        <f t="shared" si="27"/>
        <v>#DIV/0!</v>
      </c>
      <c r="Z1692" s="480"/>
      <c r="AA1692" s="480"/>
      <c r="AB1692" s="480"/>
      <c r="AC1692" s="471">
        <f t="shared" si="28"/>
        <v>0</v>
      </c>
      <c r="AD1692" s="472"/>
      <c r="AE1692" s="472"/>
      <c r="AF1692" s="472"/>
    </row>
    <row r="1693" spans="1:32" s="16" customFormat="1" ht="35.25" customHeight="1" x14ac:dyDescent="0.2">
      <c r="A1693" s="240" t="str">
        <f>'[1]4.NERACA'!C164</f>
        <v>Utang Iuran Wajib Pegawai</v>
      </c>
      <c r="B1693" s="580">
        <f>'[1]4.NERACA'!D164</f>
        <v>0</v>
      </c>
      <c r="C1693" s="581"/>
      <c r="D1693" s="581"/>
      <c r="E1693" s="582"/>
      <c r="F1693" s="583">
        <f>'[1]4.NERACA'!E164</f>
        <v>0</v>
      </c>
      <c r="G1693" s="583"/>
      <c r="H1693" s="583"/>
      <c r="I1693" s="561">
        <f>'[1]4.NERACA'!F164</f>
        <v>0</v>
      </c>
      <c r="J1693" s="561"/>
      <c r="K1693" s="561"/>
      <c r="L1693" s="615">
        <f>'[1]4.NERACA'!G164</f>
        <v>0</v>
      </c>
      <c r="M1693" s="615"/>
      <c r="N1693" s="615"/>
      <c r="O1693" s="615">
        <f>'[1]4.NERACA'!H164</f>
        <v>0</v>
      </c>
      <c r="P1693" s="615"/>
      <c r="Q1693" s="615"/>
      <c r="R1693" s="583">
        <f t="shared" si="26"/>
        <v>0</v>
      </c>
      <c r="S1693" s="583"/>
      <c r="T1693" s="583"/>
      <c r="U1693" s="583"/>
      <c r="V1693" s="479"/>
      <c r="W1693" s="480"/>
      <c r="X1693" s="480"/>
      <c r="Y1693" s="471" t="e">
        <f t="shared" si="27"/>
        <v>#DIV/0!</v>
      </c>
      <c r="Z1693" s="480"/>
      <c r="AA1693" s="480"/>
      <c r="AB1693" s="480"/>
      <c r="AC1693" s="471">
        <f t="shared" si="28"/>
        <v>0</v>
      </c>
      <c r="AD1693" s="472"/>
      <c r="AE1693" s="472"/>
      <c r="AF1693" s="472"/>
    </row>
    <row r="1694" spans="1:32" s="16" customFormat="1" ht="54.75" customHeight="1" x14ac:dyDescent="0.2">
      <c r="A1694" s="240" t="str">
        <f>'[1]4.NERACA'!C165</f>
        <v>Utang Perhitungan Pihak Ketiga Lainnya</v>
      </c>
      <c r="B1694" s="580">
        <f>'[1]4.NERACA'!D165</f>
        <v>0</v>
      </c>
      <c r="C1694" s="581"/>
      <c r="D1694" s="581"/>
      <c r="E1694" s="582"/>
      <c r="F1694" s="583">
        <f>'[1]4.NERACA'!E165</f>
        <v>0</v>
      </c>
      <c r="G1694" s="583"/>
      <c r="H1694" s="583"/>
      <c r="I1694" s="561">
        <f>'[1]4.NERACA'!F165</f>
        <v>0</v>
      </c>
      <c r="J1694" s="561"/>
      <c r="K1694" s="561"/>
      <c r="L1694" s="615">
        <f>'[1]4.NERACA'!G165</f>
        <v>0</v>
      </c>
      <c r="M1694" s="615"/>
      <c r="N1694" s="615"/>
      <c r="O1694" s="615">
        <f>'[1]4.NERACA'!H165</f>
        <v>0</v>
      </c>
      <c r="P1694" s="615"/>
      <c r="Q1694" s="615"/>
      <c r="R1694" s="583">
        <f t="shared" si="26"/>
        <v>0</v>
      </c>
      <c r="S1694" s="583"/>
      <c r="T1694" s="583"/>
      <c r="U1694" s="583"/>
      <c r="V1694" s="479"/>
      <c r="W1694" s="480"/>
      <c r="X1694" s="480"/>
      <c r="Y1694" s="471" t="e">
        <f t="shared" si="27"/>
        <v>#DIV/0!</v>
      </c>
      <c r="Z1694" s="480"/>
      <c r="AA1694" s="480"/>
      <c r="AB1694" s="480"/>
      <c r="AC1694" s="471">
        <f t="shared" si="28"/>
        <v>0</v>
      </c>
      <c r="AD1694" s="472"/>
      <c r="AE1694" s="472"/>
      <c r="AF1694" s="472"/>
    </row>
    <row r="1695" spans="1:32" s="16" customFormat="1" ht="17.25" customHeight="1" x14ac:dyDescent="0.2">
      <c r="A1695" s="240" t="str">
        <f>'[1]4.NERACA'!C166</f>
        <v>Utang Jaminan</v>
      </c>
      <c r="B1695" s="580">
        <f>'[1]4.NERACA'!D166</f>
        <v>0</v>
      </c>
      <c r="C1695" s="581"/>
      <c r="D1695" s="581"/>
      <c r="E1695" s="582"/>
      <c r="F1695" s="583">
        <f>'[1]4.NERACA'!E166</f>
        <v>0</v>
      </c>
      <c r="G1695" s="583"/>
      <c r="H1695" s="583"/>
      <c r="I1695" s="561">
        <f>'[1]4.NERACA'!F166</f>
        <v>0</v>
      </c>
      <c r="J1695" s="561"/>
      <c r="K1695" s="561"/>
      <c r="L1695" s="615">
        <f>'[1]4.NERACA'!G166</f>
        <v>0</v>
      </c>
      <c r="M1695" s="615"/>
      <c r="N1695" s="615"/>
      <c r="O1695" s="615">
        <f>'[1]4.NERACA'!H166</f>
        <v>0</v>
      </c>
      <c r="P1695" s="615"/>
      <c r="Q1695" s="615"/>
      <c r="R1695" s="583">
        <f t="shared" si="26"/>
        <v>0</v>
      </c>
      <c r="S1695" s="583"/>
      <c r="T1695" s="583"/>
      <c r="U1695" s="583"/>
      <c r="V1695" s="479"/>
      <c r="W1695" s="480"/>
      <c r="X1695" s="480"/>
      <c r="Y1695" s="471" t="e">
        <f t="shared" si="27"/>
        <v>#DIV/0!</v>
      </c>
      <c r="Z1695" s="480"/>
      <c r="AA1695" s="480"/>
      <c r="AB1695" s="480"/>
      <c r="AC1695" s="471">
        <f t="shared" si="28"/>
        <v>0</v>
      </c>
      <c r="AD1695" s="472"/>
      <c r="AE1695" s="472"/>
      <c r="AF1695" s="472"/>
    </row>
    <row r="1696" spans="1:32" s="16" customFormat="1" ht="17.25" customHeight="1" x14ac:dyDescent="0.2">
      <c r="A1696" s="241" t="s">
        <v>205</v>
      </c>
      <c r="B1696" s="580">
        <f>SUM(B1688:E1695)</f>
        <v>0</v>
      </c>
      <c r="C1696" s="581"/>
      <c r="D1696" s="581"/>
      <c r="E1696" s="582"/>
      <c r="F1696" s="583">
        <f>SUM(F1688:H1695)</f>
        <v>0</v>
      </c>
      <c r="G1696" s="583"/>
      <c r="H1696" s="583"/>
      <c r="I1696" s="561">
        <f>SUM(I1688:K1695)</f>
        <v>0</v>
      </c>
      <c r="J1696" s="561"/>
      <c r="K1696" s="561"/>
      <c r="L1696" s="615">
        <f>SUM(L1688:N1695)</f>
        <v>0</v>
      </c>
      <c r="M1696" s="615"/>
      <c r="N1696" s="615"/>
      <c r="O1696" s="615">
        <f>SUM(O1688:Q1695)</f>
        <v>0</v>
      </c>
      <c r="P1696" s="615"/>
      <c r="Q1696" s="615"/>
      <c r="R1696" s="583">
        <f>SUM(R1688:U1695)</f>
        <v>0</v>
      </c>
      <c r="S1696" s="583"/>
      <c r="T1696" s="583"/>
      <c r="U1696" s="583"/>
      <c r="V1696" s="479"/>
      <c r="W1696" s="480"/>
      <c r="X1696" s="480"/>
      <c r="Y1696" s="471" t="e">
        <f t="shared" si="27"/>
        <v>#DIV/0!</v>
      </c>
      <c r="Z1696" s="480"/>
      <c r="AA1696" s="480"/>
      <c r="AB1696" s="480"/>
      <c r="AC1696" s="471">
        <f t="shared" si="28"/>
        <v>0</v>
      </c>
      <c r="AD1696" s="472"/>
      <c r="AE1696" s="472"/>
      <c r="AF1696" s="472"/>
    </row>
    <row r="1697" spans="1:32" s="16" customFormat="1" ht="14.25" customHeight="1" x14ac:dyDescent="0.2">
      <c r="A1697" s="11"/>
      <c r="C1697" s="37"/>
      <c r="D1697" s="37"/>
      <c r="E1697" s="37"/>
      <c r="F1697" s="37"/>
      <c r="G1697" s="37"/>
      <c r="H1697" s="37"/>
      <c r="I1697" s="37"/>
      <c r="J1697" s="37"/>
      <c r="K1697" s="37"/>
      <c r="L1697" s="37"/>
      <c r="M1697" s="37"/>
      <c r="N1697" s="37"/>
      <c r="O1697" s="37"/>
      <c r="P1697" s="37"/>
      <c r="Q1697" s="37"/>
      <c r="R1697" s="37"/>
      <c r="S1697" s="37"/>
      <c r="T1697" s="37"/>
      <c r="U1697" s="37"/>
      <c r="V1697" s="23"/>
    </row>
    <row r="1698" spans="1:32" s="16" customFormat="1" ht="34.5" customHeight="1" x14ac:dyDescent="0.2">
      <c r="A1698" s="11"/>
      <c r="C1698" s="408" t="s">
        <v>525</v>
      </c>
      <c r="D1698" s="408"/>
      <c r="E1698" s="408"/>
      <c r="F1698" s="408"/>
      <c r="G1698" s="408"/>
      <c r="H1698" s="408"/>
      <c r="I1698" s="408"/>
      <c r="J1698" s="408"/>
      <c r="K1698" s="408"/>
      <c r="L1698" s="408"/>
      <c r="M1698" s="408"/>
      <c r="N1698" s="408"/>
      <c r="O1698" s="408"/>
      <c r="P1698" s="408"/>
      <c r="Q1698" s="408"/>
      <c r="R1698" s="408"/>
      <c r="S1698" s="408"/>
      <c r="T1698" s="408"/>
      <c r="U1698" s="408"/>
      <c r="V1698" s="23"/>
    </row>
    <row r="1699" spans="1:32" s="16" customFormat="1" ht="34.5" customHeight="1" x14ac:dyDescent="0.2">
      <c r="A1699" s="11"/>
      <c r="C1699" s="37"/>
      <c r="D1699" s="37"/>
      <c r="E1699" s="37"/>
      <c r="F1699" s="37"/>
      <c r="G1699" s="37"/>
      <c r="H1699" s="37"/>
      <c r="I1699" s="37"/>
      <c r="J1699" s="37"/>
      <c r="K1699" s="37"/>
      <c r="L1699" s="37"/>
      <c r="M1699" s="37"/>
      <c r="N1699" s="37"/>
      <c r="O1699" s="37"/>
      <c r="P1699" s="37"/>
      <c r="Q1699" s="37"/>
      <c r="R1699" s="37"/>
      <c r="S1699" s="37"/>
      <c r="T1699" s="37"/>
      <c r="U1699" s="37"/>
      <c r="V1699" s="23"/>
    </row>
    <row r="1700" spans="1:32" s="16" customFormat="1" ht="34.5" customHeight="1" x14ac:dyDescent="0.2">
      <c r="A1700" s="11"/>
      <c r="C1700" s="37"/>
      <c r="D1700" s="37"/>
      <c r="E1700" s="37"/>
      <c r="F1700" s="37"/>
      <c r="G1700" s="37"/>
      <c r="H1700" s="37"/>
      <c r="I1700" s="37"/>
      <c r="J1700" s="37"/>
      <c r="K1700" s="37"/>
      <c r="L1700" s="37"/>
      <c r="M1700" s="37"/>
      <c r="N1700" s="37"/>
      <c r="O1700" s="37"/>
      <c r="P1700" s="37"/>
      <c r="Q1700" s="37"/>
      <c r="R1700" s="37"/>
      <c r="S1700" s="37"/>
      <c r="T1700" s="37"/>
      <c r="U1700" s="37"/>
      <c r="V1700" s="23"/>
    </row>
    <row r="1701" spans="1:32" s="16" customFormat="1" ht="18.75" customHeight="1" x14ac:dyDescent="0.2">
      <c r="A1701" s="11"/>
      <c r="C1701" s="37"/>
      <c r="D1701" s="37"/>
      <c r="E1701" s="37"/>
      <c r="F1701" s="37"/>
      <c r="G1701" s="37"/>
      <c r="H1701" s="37"/>
      <c r="I1701" s="37"/>
      <c r="J1701" s="37"/>
      <c r="K1701" s="37"/>
      <c r="L1701" s="37"/>
      <c r="M1701" s="37"/>
      <c r="N1701" s="37"/>
      <c r="O1701" s="37"/>
      <c r="P1701" s="37"/>
      <c r="Q1701" s="37"/>
      <c r="R1701" s="37"/>
      <c r="S1701" s="37"/>
      <c r="T1701" s="37"/>
      <c r="U1701" s="37"/>
      <c r="V1701" s="23"/>
    </row>
    <row r="1702" spans="1:32" s="16" customFormat="1" ht="16.5" customHeight="1" x14ac:dyDescent="0.2">
      <c r="A1702" s="11"/>
      <c r="C1702" s="37"/>
      <c r="D1702" s="37"/>
      <c r="E1702" s="37"/>
      <c r="F1702" s="37"/>
      <c r="G1702" s="37"/>
      <c r="H1702" s="37"/>
      <c r="I1702" s="37"/>
      <c r="J1702" s="37"/>
      <c r="K1702" s="37"/>
      <c r="L1702" s="37"/>
      <c r="M1702" s="37"/>
      <c r="N1702" s="37"/>
      <c r="O1702" s="37"/>
      <c r="P1702" s="37"/>
      <c r="Q1702" s="37"/>
      <c r="R1702" s="37"/>
      <c r="S1702" s="37"/>
      <c r="T1702" s="37"/>
      <c r="U1702" s="37"/>
      <c r="V1702" s="23"/>
    </row>
    <row r="1703" spans="1:32" s="16" customFormat="1" ht="14.25" customHeight="1" x14ac:dyDescent="0.2">
      <c r="A1703" s="11"/>
      <c r="C1703" s="411" t="s">
        <v>526</v>
      </c>
      <c r="D1703" s="411"/>
      <c r="E1703" s="411"/>
      <c r="F1703" s="411"/>
      <c r="G1703" s="411"/>
      <c r="H1703" s="411"/>
      <c r="I1703" s="411"/>
      <c r="J1703" s="411"/>
      <c r="K1703" s="411"/>
      <c r="L1703" s="411"/>
      <c r="M1703" s="411"/>
      <c r="N1703" s="411"/>
      <c r="O1703" s="411"/>
      <c r="P1703" s="411"/>
      <c r="Q1703" s="411"/>
      <c r="R1703" s="411"/>
      <c r="S1703" s="411"/>
      <c r="T1703" s="411"/>
      <c r="U1703" s="411"/>
      <c r="V1703" s="23"/>
    </row>
    <row r="1704" spans="1:32" s="16" customFormat="1" ht="28.5" customHeight="1" x14ac:dyDescent="0.2">
      <c r="A1704" s="11"/>
      <c r="C1704" s="407" t="str">
        <f>"Nilai Utang Bunga  per "&amp;'[1]2.ISIAN DATA SKPD'!D8&amp;" dan "&amp;'[1]2.ISIAN DATA SKPD'!D12&amp;" adalah masing-masing sebesar Rp. "&amp;FIXED(R1716)&amp;""</f>
        <v>Nilai Utang Bunga  per 31 Desember 2018 dan 2017 adalah masing-masing sebesar Rp. 0,00</v>
      </c>
      <c r="D1704" s="407"/>
      <c r="E1704" s="407"/>
      <c r="F1704" s="407"/>
      <c r="G1704" s="407"/>
      <c r="H1704" s="407"/>
      <c r="I1704" s="407"/>
      <c r="J1704" s="407"/>
      <c r="K1704" s="407"/>
      <c r="L1704" s="407"/>
      <c r="M1704" s="407"/>
      <c r="N1704" s="407"/>
      <c r="O1704" s="407"/>
      <c r="P1704" s="407"/>
      <c r="Q1704" s="407"/>
      <c r="R1704" s="407"/>
      <c r="S1704" s="407"/>
      <c r="T1704" s="407"/>
      <c r="U1704" s="407"/>
      <c r="V1704" s="23"/>
    </row>
    <row r="1705" spans="1:32" s="16" customFormat="1" ht="55.5" customHeight="1" x14ac:dyDescent="0.2">
      <c r="A1705" s="11"/>
      <c r="C1705" s="407" t="s">
        <v>527</v>
      </c>
      <c r="D1705" s="407"/>
      <c r="E1705" s="407"/>
      <c r="F1705" s="407"/>
      <c r="G1705" s="407"/>
      <c r="H1705" s="407"/>
      <c r="I1705" s="407"/>
      <c r="J1705" s="407"/>
      <c r="K1705" s="407"/>
      <c r="L1705" s="407"/>
      <c r="M1705" s="407"/>
      <c r="N1705" s="407"/>
      <c r="O1705" s="407"/>
      <c r="P1705" s="407"/>
      <c r="Q1705" s="407"/>
      <c r="R1705" s="407"/>
      <c r="S1705" s="407"/>
      <c r="T1705" s="407"/>
      <c r="U1705" s="407"/>
      <c r="V1705" s="23"/>
    </row>
    <row r="1706" spans="1:32" s="16" customFormat="1" ht="34.5" customHeight="1" x14ac:dyDescent="0.2">
      <c r="A1706" s="11"/>
      <c r="C1706" s="407" t="str">
        <f>"Rincian Utang Bunga pada "&amp;'[1]2.ISIAN DATA SKPD'!D2&amp;" per tanggal pelaporan disajikan sebagai berikut:"</f>
        <v>Rincian Utang Bunga pada Dinas Pariwisata Dan Kebudayaan per tanggal pelaporan disajikan sebagai berikut:</v>
      </c>
      <c r="D1706" s="407"/>
      <c r="E1706" s="407"/>
      <c r="F1706" s="407"/>
      <c r="G1706" s="407"/>
      <c r="H1706" s="407"/>
      <c r="I1706" s="407"/>
      <c r="J1706" s="407"/>
      <c r="K1706" s="407"/>
      <c r="L1706" s="407"/>
      <c r="M1706" s="407"/>
      <c r="N1706" s="407"/>
      <c r="O1706" s="407"/>
      <c r="P1706" s="407"/>
      <c r="Q1706" s="407"/>
      <c r="R1706" s="407"/>
      <c r="S1706" s="407"/>
      <c r="T1706" s="407"/>
      <c r="U1706" s="407"/>
      <c r="V1706" s="23"/>
    </row>
    <row r="1707" spans="1:32" s="16" customFormat="1" ht="14.25" customHeight="1" x14ac:dyDescent="0.2">
      <c r="A1707" s="11"/>
      <c r="C1707" s="225"/>
      <c r="D1707" s="225"/>
      <c r="E1707" s="225"/>
      <c r="F1707" s="225"/>
      <c r="G1707" s="225"/>
      <c r="H1707" s="225"/>
      <c r="I1707" s="225"/>
      <c r="J1707" s="225"/>
      <c r="K1707" s="225"/>
      <c r="L1707" s="225"/>
      <c r="M1707" s="225"/>
      <c r="N1707" s="225"/>
      <c r="O1707" s="225"/>
      <c r="P1707" s="225"/>
      <c r="Q1707" s="225"/>
      <c r="R1707" s="225"/>
      <c r="S1707" s="225"/>
      <c r="T1707" s="225"/>
      <c r="U1707" s="225"/>
      <c r="V1707" s="23"/>
    </row>
    <row r="1708" spans="1:32" s="16" customFormat="1" ht="14.25" customHeight="1" x14ac:dyDescent="0.2">
      <c r="A1708" s="567" t="s">
        <v>125</v>
      </c>
      <c r="B1708" s="569" t="s">
        <v>443</v>
      </c>
      <c r="C1708" s="570"/>
      <c r="D1708" s="570"/>
      <c r="E1708" s="571"/>
      <c r="F1708" s="572" t="s">
        <v>444</v>
      </c>
      <c r="G1708" s="572"/>
      <c r="H1708" s="572"/>
      <c r="I1708" s="572"/>
      <c r="J1708" s="572"/>
      <c r="K1708" s="572"/>
      <c r="L1708" s="572" t="s">
        <v>445</v>
      </c>
      <c r="M1708" s="572"/>
      <c r="N1708" s="572"/>
      <c r="O1708" s="572"/>
      <c r="P1708" s="572"/>
      <c r="Q1708" s="572"/>
      <c r="R1708" s="562" t="s">
        <v>446</v>
      </c>
      <c r="S1708" s="562"/>
      <c r="T1708" s="562"/>
      <c r="U1708" s="562"/>
      <c r="V1708" s="23"/>
    </row>
    <row r="1709" spans="1:32" s="16" customFormat="1" ht="14.25" customHeight="1" x14ac:dyDescent="0.2">
      <c r="A1709" s="568"/>
      <c r="B1709" s="564">
        <f>B1687</f>
        <v>2017</v>
      </c>
      <c r="C1709" s="565"/>
      <c r="D1709" s="565"/>
      <c r="E1709" s="566"/>
      <c r="F1709" s="562" t="s">
        <v>447</v>
      </c>
      <c r="G1709" s="562"/>
      <c r="H1709" s="562"/>
      <c r="I1709" s="573" t="s">
        <v>448</v>
      </c>
      <c r="J1709" s="573"/>
      <c r="K1709" s="573"/>
      <c r="L1709" s="562" t="s">
        <v>447</v>
      </c>
      <c r="M1709" s="562"/>
      <c r="N1709" s="562"/>
      <c r="O1709" s="563" t="s">
        <v>448</v>
      </c>
      <c r="P1709" s="563"/>
      <c r="Q1709" s="563"/>
      <c r="R1709" s="564">
        <f>R1687</f>
        <v>2018</v>
      </c>
      <c r="S1709" s="565"/>
      <c r="T1709" s="565"/>
      <c r="U1709" s="566"/>
      <c r="V1709" s="487"/>
      <c r="W1709" s="480"/>
      <c r="X1709" s="480"/>
      <c r="Y1709" s="471" t="s">
        <v>449</v>
      </c>
      <c r="Z1709" s="480"/>
      <c r="AA1709" s="480"/>
      <c r="AB1709" s="480"/>
      <c r="AC1709" s="488" t="s">
        <v>438</v>
      </c>
      <c r="AD1709" s="489"/>
      <c r="AE1709" s="489"/>
      <c r="AF1709" s="489"/>
    </row>
    <row r="1710" spans="1:32" s="16" customFormat="1" ht="45.75" customHeight="1" x14ac:dyDescent="0.2">
      <c r="A1710" s="240" t="str">
        <f>'[1]4.NERACA'!C168</f>
        <v>Utang Bunga kepada Pemerintah</v>
      </c>
      <c r="B1710" s="611">
        <f>'[1]4.NERACA'!D168</f>
        <v>0</v>
      </c>
      <c r="C1710" s="612"/>
      <c r="D1710" s="612"/>
      <c r="E1710" s="613"/>
      <c r="F1710" s="614">
        <f>'[1]4.NERACA'!E168</f>
        <v>0</v>
      </c>
      <c r="G1710" s="614"/>
      <c r="H1710" s="614"/>
      <c r="I1710" s="610">
        <f>'[1]4.NERACA'!F168</f>
        <v>0</v>
      </c>
      <c r="J1710" s="610"/>
      <c r="K1710" s="610"/>
      <c r="L1710" s="614">
        <f>'[1]4.NERACA'!G168</f>
        <v>0</v>
      </c>
      <c r="M1710" s="614"/>
      <c r="N1710" s="614"/>
      <c r="O1710" s="614">
        <f>'[1]4.NERACA'!H168</f>
        <v>0</v>
      </c>
      <c r="P1710" s="614"/>
      <c r="Q1710" s="614"/>
      <c r="R1710" s="557">
        <f t="shared" ref="R1710:R1715" si="29">B1710-F1710+I1710-L1710+O1710</f>
        <v>0</v>
      </c>
      <c r="S1710" s="558"/>
      <c r="T1710" s="558"/>
      <c r="U1710" s="559"/>
      <c r="V1710" s="479"/>
      <c r="W1710" s="480"/>
      <c r="X1710" s="480"/>
      <c r="Y1710" s="471" t="e">
        <f>(R1710-B1710)/B1710*100</f>
        <v>#DIV/0!</v>
      </c>
      <c r="Z1710" s="480"/>
      <c r="AA1710" s="480"/>
      <c r="AB1710" s="480"/>
      <c r="AC1710" s="471">
        <f>R1710-B1710</f>
        <v>0</v>
      </c>
      <c r="AD1710" s="472"/>
      <c r="AE1710" s="472"/>
      <c r="AF1710" s="472"/>
    </row>
    <row r="1711" spans="1:32" s="16" customFormat="1" ht="55.5" customHeight="1" x14ac:dyDescent="0.2">
      <c r="A1711" s="240" t="str">
        <f>'[1]4.NERACA'!C169</f>
        <v>Utang Bunga kepada Pemerintah Daerah Lainnya</v>
      </c>
      <c r="B1711" s="611">
        <f>'[1]4.NERACA'!D169</f>
        <v>0</v>
      </c>
      <c r="C1711" s="612"/>
      <c r="D1711" s="612"/>
      <c r="E1711" s="613"/>
      <c r="F1711" s="614">
        <f>'[1]4.NERACA'!E169</f>
        <v>0</v>
      </c>
      <c r="G1711" s="614"/>
      <c r="H1711" s="614"/>
      <c r="I1711" s="610">
        <f>'[1]4.NERACA'!F169</f>
        <v>0</v>
      </c>
      <c r="J1711" s="610"/>
      <c r="K1711" s="610"/>
      <c r="L1711" s="614">
        <f>'[1]4.NERACA'!G169</f>
        <v>0</v>
      </c>
      <c r="M1711" s="614"/>
      <c r="N1711" s="614"/>
      <c r="O1711" s="614">
        <f>'[1]4.NERACA'!H169</f>
        <v>0</v>
      </c>
      <c r="P1711" s="614"/>
      <c r="Q1711" s="614"/>
      <c r="R1711" s="557">
        <f t="shared" si="29"/>
        <v>0</v>
      </c>
      <c r="S1711" s="558"/>
      <c r="T1711" s="558"/>
      <c r="U1711" s="559"/>
      <c r="V1711" s="479"/>
      <c r="W1711" s="480"/>
      <c r="X1711" s="480"/>
      <c r="Y1711" s="471" t="e">
        <f t="shared" ref="Y1711:Y1716" si="30">(R1711-B1711)/B1711*100</f>
        <v>#DIV/0!</v>
      </c>
      <c r="Z1711" s="480"/>
      <c r="AA1711" s="480"/>
      <c r="AB1711" s="480"/>
      <c r="AC1711" s="471">
        <f t="shared" ref="AC1711:AC1716" si="31">R1711-B1711</f>
        <v>0</v>
      </c>
      <c r="AD1711" s="472"/>
      <c r="AE1711" s="472"/>
      <c r="AF1711" s="472"/>
    </row>
    <row r="1712" spans="1:32" s="16" customFormat="1" ht="42.75" customHeight="1" x14ac:dyDescent="0.2">
      <c r="A1712" s="240" t="str">
        <f>'[1]4.NERACA'!C170</f>
        <v>Utang Bunga Kepada BUMN/BUMD</v>
      </c>
      <c r="B1712" s="611">
        <f>'[1]4.NERACA'!D170</f>
        <v>0</v>
      </c>
      <c r="C1712" s="612"/>
      <c r="D1712" s="612"/>
      <c r="E1712" s="613"/>
      <c r="F1712" s="614">
        <f>'[1]4.NERACA'!E170</f>
        <v>0</v>
      </c>
      <c r="G1712" s="614"/>
      <c r="H1712" s="614"/>
      <c r="I1712" s="610">
        <f>'[1]4.NERACA'!F170</f>
        <v>0</v>
      </c>
      <c r="J1712" s="610"/>
      <c r="K1712" s="610"/>
      <c r="L1712" s="614">
        <f>'[1]4.NERACA'!G170</f>
        <v>0</v>
      </c>
      <c r="M1712" s="614"/>
      <c r="N1712" s="614"/>
      <c r="O1712" s="614">
        <f>'[1]4.NERACA'!H170</f>
        <v>0</v>
      </c>
      <c r="P1712" s="614"/>
      <c r="Q1712" s="614"/>
      <c r="R1712" s="560">
        <f t="shared" si="29"/>
        <v>0</v>
      </c>
      <c r="S1712" s="560"/>
      <c r="T1712" s="560"/>
      <c r="U1712" s="560"/>
      <c r="V1712" s="479"/>
      <c r="W1712" s="480"/>
      <c r="X1712" s="480"/>
      <c r="Y1712" s="471" t="e">
        <f t="shared" si="30"/>
        <v>#DIV/0!</v>
      </c>
      <c r="Z1712" s="480"/>
      <c r="AA1712" s="480"/>
      <c r="AB1712" s="480"/>
      <c r="AC1712" s="471">
        <f t="shared" si="31"/>
        <v>0</v>
      </c>
      <c r="AD1712" s="472"/>
      <c r="AE1712" s="472"/>
      <c r="AF1712" s="472"/>
    </row>
    <row r="1713" spans="1:32" s="16" customFormat="1" ht="71.25" customHeight="1" x14ac:dyDescent="0.2">
      <c r="A1713" s="240" t="str">
        <f>'[1]4.NERACA'!C171</f>
        <v>Utang Bunga kepada Bank/Lembaga Keuangan Bukan Bank</v>
      </c>
      <c r="B1713" s="611">
        <f>'[1]4.NERACA'!D171</f>
        <v>0</v>
      </c>
      <c r="C1713" s="612"/>
      <c r="D1713" s="612"/>
      <c r="E1713" s="613"/>
      <c r="F1713" s="614">
        <f>'[1]4.NERACA'!E171</f>
        <v>0</v>
      </c>
      <c r="G1713" s="614"/>
      <c r="H1713" s="614"/>
      <c r="I1713" s="610">
        <f>'[1]4.NERACA'!F171</f>
        <v>0</v>
      </c>
      <c r="J1713" s="610"/>
      <c r="K1713" s="610"/>
      <c r="L1713" s="614">
        <f>'[1]4.NERACA'!G171</f>
        <v>0</v>
      </c>
      <c r="M1713" s="614"/>
      <c r="N1713" s="614"/>
      <c r="O1713" s="614">
        <f>'[1]4.NERACA'!H171</f>
        <v>0</v>
      </c>
      <c r="P1713" s="614"/>
      <c r="Q1713" s="614"/>
      <c r="R1713" s="560">
        <f t="shared" si="29"/>
        <v>0</v>
      </c>
      <c r="S1713" s="560"/>
      <c r="T1713" s="560"/>
      <c r="U1713" s="560"/>
      <c r="V1713" s="479"/>
      <c r="W1713" s="480"/>
      <c r="X1713" s="480"/>
      <c r="Y1713" s="471" t="e">
        <f t="shared" si="30"/>
        <v>#DIV/0!</v>
      </c>
      <c r="Z1713" s="480"/>
      <c r="AA1713" s="480"/>
      <c r="AB1713" s="480"/>
      <c r="AC1713" s="471">
        <f t="shared" si="31"/>
        <v>0</v>
      </c>
      <c r="AD1713" s="472"/>
      <c r="AE1713" s="472"/>
      <c r="AF1713" s="472"/>
    </row>
    <row r="1714" spans="1:32" s="16" customFormat="1" ht="45.75" customHeight="1" x14ac:dyDescent="0.2">
      <c r="A1714" s="240" t="str">
        <f>'[1]4.NERACA'!C172</f>
        <v>Utang Bunga Dalam Negeri Lainnya</v>
      </c>
      <c r="B1714" s="611">
        <f>'[1]4.NERACA'!D172</f>
        <v>0</v>
      </c>
      <c r="C1714" s="612"/>
      <c r="D1714" s="612"/>
      <c r="E1714" s="613"/>
      <c r="F1714" s="614">
        <f>'[1]4.NERACA'!E172</f>
        <v>0</v>
      </c>
      <c r="G1714" s="614"/>
      <c r="H1714" s="614"/>
      <c r="I1714" s="610">
        <f>'[1]4.NERACA'!F172</f>
        <v>0</v>
      </c>
      <c r="J1714" s="610"/>
      <c r="K1714" s="610"/>
      <c r="L1714" s="614">
        <f>'[1]4.NERACA'!G172</f>
        <v>0</v>
      </c>
      <c r="M1714" s="614"/>
      <c r="N1714" s="614"/>
      <c r="O1714" s="614">
        <f>'[1]4.NERACA'!H172</f>
        <v>0</v>
      </c>
      <c r="P1714" s="614"/>
      <c r="Q1714" s="614"/>
      <c r="R1714" s="560">
        <f t="shared" si="29"/>
        <v>0</v>
      </c>
      <c r="S1714" s="560"/>
      <c r="T1714" s="560"/>
      <c r="U1714" s="560"/>
      <c r="V1714" s="479"/>
      <c r="W1714" s="480"/>
      <c r="X1714" s="480"/>
      <c r="Y1714" s="471" t="e">
        <f t="shared" si="30"/>
        <v>#DIV/0!</v>
      </c>
      <c r="Z1714" s="480"/>
      <c r="AA1714" s="480"/>
      <c r="AB1714" s="480"/>
      <c r="AC1714" s="471">
        <f t="shared" si="31"/>
        <v>0</v>
      </c>
      <c r="AD1714" s="472"/>
      <c r="AE1714" s="472"/>
      <c r="AF1714" s="472"/>
    </row>
    <row r="1715" spans="1:32" s="16" customFormat="1" ht="39" customHeight="1" x14ac:dyDescent="0.2">
      <c r="A1715" s="240" t="str">
        <f>'[1]4.NERACA'!C173</f>
        <v>Utang Bunga Luar Negeri</v>
      </c>
      <c r="B1715" s="611">
        <f>'[1]4.NERACA'!D173</f>
        <v>0</v>
      </c>
      <c r="C1715" s="612"/>
      <c r="D1715" s="612"/>
      <c r="E1715" s="613"/>
      <c r="F1715" s="614">
        <f>'[1]4.NERACA'!E173</f>
        <v>0</v>
      </c>
      <c r="G1715" s="614"/>
      <c r="H1715" s="614"/>
      <c r="I1715" s="610">
        <f>'[1]4.NERACA'!F173</f>
        <v>0</v>
      </c>
      <c r="J1715" s="610"/>
      <c r="K1715" s="610"/>
      <c r="L1715" s="614">
        <f>'[1]4.NERACA'!G173</f>
        <v>0</v>
      </c>
      <c r="M1715" s="614"/>
      <c r="N1715" s="614"/>
      <c r="O1715" s="614">
        <f>'[1]4.NERACA'!H173</f>
        <v>0</v>
      </c>
      <c r="P1715" s="614"/>
      <c r="Q1715" s="614"/>
      <c r="R1715" s="560">
        <f t="shared" si="29"/>
        <v>0</v>
      </c>
      <c r="S1715" s="560"/>
      <c r="T1715" s="560"/>
      <c r="U1715" s="560"/>
      <c r="V1715" s="479"/>
      <c r="W1715" s="480"/>
      <c r="X1715" s="480"/>
      <c r="Y1715" s="471" t="e">
        <f t="shared" si="30"/>
        <v>#DIV/0!</v>
      </c>
      <c r="Z1715" s="480"/>
      <c r="AA1715" s="480"/>
      <c r="AB1715" s="480"/>
      <c r="AC1715" s="471">
        <f t="shared" si="31"/>
        <v>0</v>
      </c>
      <c r="AD1715" s="472"/>
      <c r="AE1715" s="472"/>
      <c r="AF1715" s="472"/>
    </row>
    <row r="1716" spans="1:32" s="16" customFormat="1" ht="22.5" customHeight="1" x14ac:dyDescent="0.2">
      <c r="A1716" s="242" t="s">
        <v>205</v>
      </c>
      <c r="B1716" s="606">
        <f>SUM(B1710:E1715)</f>
        <v>0</v>
      </c>
      <c r="C1716" s="607"/>
      <c r="D1716" s="607"/>
      <c r="E1716" s="608"/>
      <c r="F1716" s="609">
        <f>SUM(F1710:H1715)</f>
        <v>0</v>
      </c>
      <c r="G1716" s="609"/>
      <c r="H1716" s="609"/>
      <c r="I1716" s="610">
        <f>SUM(I1710:K1715)</f>
        <v>0</v>
      </c>
      <c r="J1716" s="610"/>
      <c r="K1716" s="610"/>
      <c r="L1716" s="609">
        <f>SUM(L1710:N1715)</f>
        <v>0</v>
      </c>
      <c r="M1716" s="609"/>
      <c r="N1716" s="609"/>
      <c r="O1716" s="609">
        <f>SUM(O1710:Q1715)</f>
        <v>0</v>
      </c>
      <c r="P1716" s="609"/>
      <c r="Q1716" s="609"/>
      <c r="R1716" s="609">
        <f>SUM(R1710:U1715)</f>
        <v>0</v>
      </c>
      <c r="S1716" s="609"/>
      <c r="T1716" s="609"/>
      <c r="U1716" s="609"/>
      <c r="V1716" s="479"/>
      <c r="W1716" s="480"/>
      <c r="X1716" s="480"/>
      <c r="Y1716" s="471" t="e">
        <f t="shared" si="30"/>
        <v>#DIV/0!</v>
      </c>
      <c r="Z1716" s="480"/>
      <c r="AA1716" s="480"/>
      <c r="AB1716" s="480"/>
      <c r="AC1716" s="471">
        <f t="shared" si="31"/>
        <v>0</v>
      </c>
      <c r="AD1716" s="472"/>
      <c r="AE1716" s="472"/>
      <c r="AF1716" s="472"/>
    </row>
    <row r="1717" spans="1:32" s="16" customFormat="1" ht="18.75" customHeight="1" x14ac:dyDescent="0.2">
      <c r="A1717" s="243"/>
      <c r="B1717" s="203"/>
      <c r="C1717" s="203"/>
      <c r="D1717" s="203"/>
      <c r="E1717" s="203"/>
      <c r="F1717" s="204"/>
      <c r="G1717" s="204"/>
      <c r="H1717" s="204"/>
      <c r="I1717" s="204"/>
      <c r="J1717" s="204"/>
      <c r="K1717" s="204"/>
      <c r="L1717" s="204"/>
      <c r="M1717" s="204"/>
      <c r="N1717" s="204"/>
      <c r="O1717" s="204"/>
      <c r="P1717" s="204"/>
      <c r="Q1717" s="204"/>
      <c r="R1717" s="203"/>
      <c r="S1717" s="203"/>
      <c r="T1717" s="203"/>
      <c r="U1717" s="203"/>
      <c r="V1717" s="23"/>
    </row>
    <row r="1718" spans="1:32" s="16" customFormat="1" ht="18" customHeight="1" x14ac:dyDescent="0.2">
      <c r="A1718" s="243"/>
      <c r="B1718" s="244"/>
      <c r="C1718" s="411" t="s">
        <v>528</v>
      </c>
      <c r="D1718" s="411"/>
      <c r="E1718" s="411"/>
      <c r="F1718" s="411"/>
      <c r="G1718" s="411"/>
      <c r="H1718" s="411"/>
      <c r="I1718" s="411"/>
      <c r="J1718" s="411"/>
      <c r="K1718" s="411"/>
      <c r="L1718" s="411"/>
      <c r="M1718" s="411"/>
      <c r="N1718" s="411"/>
      <c r="O1718" s="411"/>
      <c r="P1718" s="411"/>
      <c r="Q1718" s="411"/>
      <c r="R1718" s="411"/>
      <c r="S1718" s="411"/>
      <c r="T1718" s="411"/>
      <c r="U1718" s="411"/>
      <c r="V1718" s="23"/>
    </row>
    <row r="1719" spans="1:32" s="16" customFormat="1" ht="30" customHeight="1" x14ac:dyDescent="0.2">
      <c r="A1719" s="11"/>
      <c r="C1719" s="407" t="str">
        <f>"Nilai Bagian Lancar Utang Jangka Panjang  per "&amp;'[1]2.ISIAN DATA SKPD'!D16&amp;" dan "&amp;'[1]2.ISIAN DATA SKPD'!D25&amp;" adalah masing-masing sebesar Rp. "&amp;FIXED(R1732)&amp;"0"</f>
        <v>Nilai Bagian Lancar Utang Jangka Panjang  per  dan  adalah masing-masing sebesar Rp. 0,000</v>
      </c>
      <c r="D1719" s="407"/>
      <c r="E1719" s="407"/>
      <c r="F1719" s="407"/>
      <c r="G1719" s="407"/>
      <c r="H1719" s="407"/>
      <c r="I1719" s="407"/>
      <c r="J1719" s="407"/>
      <c r="K1719" s="407"/>
      <c r="L1719" s="407"/>
      <c r="M1719" s="407"/>
      <c r="N1719" s="407"/>
      <c r="O1719" s="407"/>
      <c r="P1719" s="407"/>
      <c r="Q1719" s="407"/>
      <c r="R1719" s="407"/>
      <c r="S1719" s="407"/>
      <c r="T1719" s="407"/>
      <c r="U1719" s="407"/>
      <c r="V1719" s="23"/>
    </row>
    <row r="1720" spans="1:32" s="16" customFormat="1" ht="45.75" customHeight="1" x14ac:dyDescent="0.2">
      <c r="A1720" s="11"/>
      <c r="C1720" s="407" t="str">
        <f>"Rincian Bagian Lancar Utang Jangka Panjang  pada "&amp;'[1]2.ISIAN DATA SKPD'!D2&amp;" per tanggal pelaporan disajikan sebagai berikut:"</f>
        <v>Rincian Bagian Lancar Utang Jangka Panjang  pada Dinas Pariwisata Dan Kebudayaan per tanggal pelaporan disajikan sebagai berikut:</v>
      </c>
      <c r="D1720" s="407"/>
      <c r="E1720" s="407"/>
      <c r="F1720" s="407"/>
      <c r="G1720" s="407"/>
      <c r="H1720" s="407"/>
      <c r="I1720" s="407"/>
      <c r="J1720" s="407"/>
      <c r="K1720" s="407"/>
      <c r="L1720" s="407"/>
      <c r="M1720" s="407"/>
      <c r="N1720" s="407"/>
      <c r="O1720" s="407"/>
      <c r="P1720" s="407"/>
      <c r="Q1720" s="407"/>
      <c r="R1720" s="407"/>
      <c r="S1720" s="407"/>
      <c r="T1720" s="407"/>
      <c r="U1720" s="407"/>
      <c r="V1720" s="23"/>
    </row>
    <row r="1721" spans="1:32" s="16" customFormat="1" ht="45.75" customHeight="1" x14ac:dyDescent="0.2">
      <c r="A1721" s="11"/>
      <c r="C1721" s="77"/>
      <c r="D1721" s="77"/>
      <c r="E1721" s="77"/>
      <c r="F1721" s="77"/>
      <c r="G1721" s="77"/>
      <c r="H1721" s="77"/>
      <c r="I1721" s="77"/>
      <c r="J1721" s="77"/>
      <c r="K1721" s="77"/>
      <c r="L1721" s="77"/>
      <c r="M1721" s="77"/>
      <c r="N1721" s="77"/>
      <c r="O1721" s="77"/>
      <c r="P1721" s="77"/>
      <c r="Q1721" s="77"/>
      <c r="R1721" s="77"/>
      <c r="S1721" s="77"/>
      <c r="T1721" s="77"/>
      <c r="U1721" s="77"/>
      <c r="V1721" s="23"/>
    </row>
    <row r="1722" spans="1:32" s="16" customFormat="1" ht="45.75" customHeight="1" x14ac:dyDescent="0.2">
      <c r="A1722" s="11"/>
      <c r="C1722" s="77"/>
      <c r="D1722" s="77"/>
      <c r="E1722" s="77"/>
      <c r="F1722" s="77"/>
      <c r="G1722" s="77"/>
      <c r="H1722" s="77"/>
      <c r="I1722" s="77"/>
      <c r="J1722" s="77"/>
      <c r="K1722" s="77"/>
      <c r="L1722" s="77"/>
      <c r="M1722" s="77"/>
      <c r="N1722" s="77"/>
      <c r="O1722" s="77"/>
      <c r="P1722" s="77"/>
      <c r="Q1722" s="77"/>
      <c r="R1722" s="77"/>
      <c r="S1722" s="77"/>
      <c r="T1722" s="77"/>
      <c r="U1722" s="77"/>
      <c r="V1722" s="23"/>
    </row>
    <row r="1723" spans="1:32" s="16" customFormat="1" ht="45.75" customHeight="1" x14ac:dyDescent="0.2">
      <c r="A1723" s="11"/>
      <c r="C1723" s="77"/>
      <c r="D1723" s="77"/>
      <c r="E1723" s="77"/>
      <c r="F1723" s="77"/>
      <c r="G1723" s="77"/>
      <c r="H1723" s="77"/>
      <c r="I1723" s="77"/>
      <c r="J1723" s="77"/>
      <c r="K1723" s="77"/>
      <c r="L1723" s="77"/>
      <c r="M1723" s="77"/>
      <c r="N1723" s="77"/>
      <c r="O1723" s="77"/>
      <c r="P1723" s="77"/>
      <c r="Q1723" s="77"/>
      <c r="R1723" s="77"/>
      <c r="S1723" s="77"/>
      <c r="T1723" s="77"/>
      <c r="U1723" s="77"/>
      <c r="V1723" s="23"/>
    </row>
    <row r="1724" spans="1:32" s="16" customFormat="1" ht="16.5" customHeight="1" x14ac:dyDescent="0.2">
      <c r="A1724" s="11"/>
      <c r="C1724" s="77"/>
      <c r="D1724" s="77"/>
      <c r="E1724" s="77"/>
      <c r="F1724" s="77"/>
      <c r="G1724" s="77"/>
      <c r="H1724" s="77"/>
      <c r="I1724" s="77"/>
      <c r="J1724" s="77"/>
      <c r="K1724" s="77"/>
      <c r="L1724" s="77"/>
      <c r="M1724" s="77"/>
      <c r="N1724" s="77"/>
      <c r="O1724" s="77"/>
      <c r="P1724" s="77"/>
      <c r="Q1724" s="77"/>
      <c r="R1724" s="77"/>
      <c r="S1724" s="77"/>
      <c r="T1724" s="77"/>
      <c r="U1724" s="77"/>
      <c r="V1724" s="23"/>
    </row>
    <row r="1725" spans="1:32" s="16" customFormat="1" ht="13.5" customHeight="1" x14ac:dyDescent="0.2">
      <c r="A1725" s="567" t="s">
        <v>125</v>
      </c>
      <c r="B1725" s="602" t="s">
        <v>443</v>
      </c>
      <c r="C1725" s="603"/>
      <c r="D1725" s="603"/>
      <c r="E1725" s="604"/>
      <c r="F1725" s="605" t="s">
        <v>444</v>
      </c>
      <c r="G1725" s="605"/>
      <c r="H1725" s="605"/>
      <c r="I1725" s="605"/>
      <c r="J1725" s="605"/>
      <c r="K1725" s="605"/>
      <c r="L1725" s="605" t="s">
        <v>445</v>
      </c>
      <c r="M1725" s="605"/>
      <c r="N1725" s="605"/>
      <c r="O1725" s="605"/>
      <c r="P1725" s="605"/>
      <c r="Q1725" s="605"/>
      <c r="R1725" s="600" t="s">
        <v>446</v>
      </c>
      <c r="S1725" s="600"/>
      <c r="T1725" s="600"/>
      <c r="U1725" s="600"/>
      <c r="V1725" s="23"/>
    </row>
    <row r="1726" spans="1:32" s="16" customFormat="1" ht="13.5" customHeight="1" x14ac:dyDescent="0.2">
      <c r="A1726" s="568"/>
      <c r="B1726" s="564">
        <f>B1709</f>
        <v>2017</v>
      </c>
      <c r="C1726" s="565"/>
      <c r="D1726" s="565"/>
      <c r="E1726" s="566"/>
      <c r="F1726" s="600" t="s">
        <v>447</v>
      </c>
      <c r="G1726" s="600"/>
      <c r="H1726" s="600"/>
      <c r="I1726" s="599" t="s">
        <v>448</v>
      </c>
      <c r="J1726" s="599"/>
      <c r="K1726" s="599"/>
      <c r="L1726" s="600" t="s">
        <v>447</v>
      </c>
      <c r="M1726" s="600"/>
      <c r="N1726" s="600"/>
      <c r="O1726" s="601" t="s">
        <v>448</v>
      </c>
      <c r="P1726" s="601"/>
      <c r="Q1726" s="601"/>
      <c r="R1726" s="564">
        <f>R1709</f>
        <v>2018</v>
      </c>
      <c r="S1726" s="565"/>
      <c r="T1726" s="565"/>
      <c r="U1726" s="566"/>
      <c r="V1726" s="487"/>
      <c r="W1726" s="480"/>
      <c r="X1726" s="480"/>
      <c r="Y1726" s="471" t="s">
        <v>449</v>
      </c>
      <c r="Z1726" s="480"/>
      <c r="AA1726" s="480"/>
      <c r="AB1726" s="480"/>
      <c r="AC1726" s="488" t="s">
        <v>438</v>
      </c>
      <c r="AD1726" s="489"/>
      <c r="AE1726" s="489"/>
      <c r="AF1726" s="489"/>
    </row>
    <row r="1727" spans="1:32" s="16" customFormat="1" ht="54.75" customHeight="1" x14ac:dyDescent="0.2">
      <c r="A1727" s="240" t="str">
        <f>'[1]4.NERACA'!C175</f>
        <v>Bagian Lancar Utang Dalam Negeri Sektor Perbankan</v>
      </c>
      <c r="B1727" s="557">
        <f>'[1]4.NERACA'!D175</f>
        <v>0</v>
      </c>
      <c r="C1727" s="558"/>
      <c r="D1727" s="558"/>
      <c r="E1727" s="559"/>
      <c r="F1727" s="560">
        <f>'[1]4.NERACA'!E175</f>
        <v>0</v>
      </c>
      <c r="G1727" s="560"/>
      <c r="H1727" s="560"/>
      <c r="I1727" s="561">
        <f>'[1]4.NERACA'!F175</f>
        <v>0</v>
      </c>
      <c r="J1727" s="561"/>
      <c r="K1727" s="561"/>
      <c r="L1727" s="560">
        <f>'[1]4.NERACA'!G175</f>
        <v>0</v>
      </c>
      <c r="M1727" s="560"/>
      <c r="N1727" s="560"/>
      <c r="O1727" s="560">
        <f>'[1]4.NERACA'!H175</f>
        <v>0</v>
      </c>
      <c r="P1727" s="560"/>
      <c r="Q1727" s="560"/>
      <c r="R1727" s="560">
        <f>B1727-F1727+I1727-L1727+O1727</f>
        <v>0</v>
      </c>
      <c r="S1727" s="560"/>
      <c r="T1727" s="560"/>
      <c r="U1727" s="560"/>
      <c r="V1727" s="479"/>
      <c r="W1727" s="480"/>
      <c r="X1727" s="480"/>
      <c r="Y1727" s="471" t="e">
        <f t="shared" ref="Y1727:Y1732" si="32">(R1727-B1727)/B1727*100</f>
        <v>#DIV/0!</v>
      </c>
      <c r="Z1727" s="480"/>
      <c r="AA1727" s="480"/>
      <c r="AB1727" s="480"/>
      <c r="AC1727" s="471">
        <f t="shared" ref="AC1727:AC1732" si="33">R1727-B1727</f>
        <v>0</v>
      </c>
      <c r="AD1727" s="472"/>
      <c r="AE1727" s="472"/>
      <c r="AF1727" s="472"/>
    </row>
    <row r="1728" spans="1:32" s="16" customFormat="1" ht="57.75" customHeight="1" x14ac:dyDescent="0.2">
      <c r="A1728" s="240" t="str">
        <f>'[1]4.NERACA'!C176</f>
        <v>Bagian Lancar Utang dari Lembaga Keuangan Bukan Bank</v>
      </c>
      <c r="B1728" s="557">
        <f>'[1]4.NERACA'!D176</f>
        <v>0</v>
      </c>
      <c r="C1728" s="558"/>
      <c r="D1728" s="558"/>
      <c r="E1728" s="559"/>
      <c r="F1728" s="560">
        <f>'[1]4.NERACA'!E176</f>
        <v>0</v>
      </c>
      <c r="G1728" s="560"/>
      <c r="H1728" s="560"/>
      <c r="I1728" s="561">
        <f>'[1]4.NERACA'!F176</f>
        <v>0</v>
      </c>
      <c r="J1728" s="561"/>
      <c r="K1728" s="561"/>
      <c r="L1728" s="560">
        <f>'[1]4.NERACA'!G176</f>
        <v>0</v>
      </c>
      <c r="M1728" s="560"/>
      <c r="N1728" s="560"/>
      <c r="O1728" s="560">
        <f>'[1]4.NERACA'!H176</f>
        <v>0</v>
      </c>
      <c r="P1728" s="560"/>
      <c r="Q1728" s="560"/>
      <c r="R1728" s="560">
        <f>B1728-F1728+I1728-L1728+O1728</f>
        <v>0</v>
      </c>
      <c r="S1728" s="560"/>
      <c r="T1728" s="560"/>
      <c r="U1728" s="560"/>
      <c r="V1728" s="479"/>
      <c r="W1728" s="480"/>
      <c r="X1728" s="480"/>
      <c r="Y1728" s="471" t="e">
        <f t="shared" si="32"/>
        <v>#DIV/0!</v>
      </c>
      <c r="Z1728" s="480"/>
      <c r="AA1728" s="480"/>
      <c r="AB1728" s="480"/>
      <c r="AC1728" s="471">
        <f t="shared" si="33"/>
        <v>0</v>
      </c>
      <c r="AD1728" s="472"/>
      <c r="AE1728" s="472"/>
      <c r="AF1728" s="472"/>
    </row>
    <row r="1729" spans="1:32" s="16" customFormat="1" ht="57.75" customHeight="1" x14ac:dyDescent="0.2">
      <c r="A1729" s="240" t="str">
        <f>'[1]4.NERACA'!C177</f>
        <v>Bagian Lancar Utang Pemerintah Pusat</v>
      </c>
      <c r="B1729" s="557">
        <f>'[1]4.NERACA'!D177</f>
        <v>0</v>
      </c>
      <c r="C1729" s="558"/>
      <c r="D1729" s="558"/>
      <c r="E1729" s="559"/>
      <c r="F1729" s="560">
        <f>'[1]4.NERACA'!E177</f>
        <v>0</v>
      </c>
      <c r="G1729" s="560"/>
      <c r="H1729" s="560"/>
      <c r="I1729" s="561">
        <f>'[1]4.NERACA'!F177</f>
        <v>0</v>
      </c>
      <c r="J1729" s="561"/>
      <c r="K1729" s="561"/>
      <c r="L1729" s="560">
        <f>'[1]4.NERACA'!G177</f>
        <v>0</v>
      </c>
      <c r="M1729" s="560"/>
      <c r="N1729" s="560"/>
      <c r="O1729" s="560">
        <f>'[1]4.NERACA'!H177</f>
        <v>0</v>
      </c>
      <c r="P1729" s="560"/>
      <c r="Q1729" s="560"/>
      <c r="R1729" s="560">
        <f>B1729-F1729+I1729-L1729+O1729</f>
        <v>0</v>
      </c>
      <c r="S1729" s="560"/>
      <c r="T1729" s="560"/>
      <c r="U1729" s="560"/>
      <c r="V1729" s="479"/>
      <c r="W1729" s="480"/>
      <c r="X1729" s="480"/>
      <c r="Y1729" s="471" t="e">
        <f t="shared" si="32"/>
        <v>#DIV/0!</v>
      </c>
      <c r="Z1729" s="480"/>
      <c r="AA1729" s="480"/>
      <c r="AB1729" s="480"/>
      <c r="AC1729" s="471">
        <f t="shared" si="33"/>
        <v>0</v>
      </c>
      <c r="AD1729" s="472"/>
      <c r="AE1729" s="472"/>
      <c r="AF1729" s="472"/>
    </row>
    <row r="1730" spans="1:32" s="16" customFormat="1" ht="69.75" customHeight="1" x14ac:dyDescent="0.2">
      <c r="A1730" s="240" t="str">
        <f>'[1]4.NERACA'!C178</f>
        <v>Bagian Lancar Utang Pemerintah Provinsi Lainnya</v>
      </c>
      <c r="B1730" s="557">
        <f>'[1]4.NERACA'!D178</f>
        <v>0</v>
      </c>
      <c r="C1730" s="558"/>
      <c r="D1730" s="558"/>
      <c r="E1730" s="559"/>
      <c r="F1730" s="560">
        <f>'[1]4.NERACA'!E178</f>
        <v>0</v>
      </c>
      <c r="G1730" s="560"/>
      <c r="H1730" s="560"/>
      <c r="I1730" s="561">
        <f>'[1]4.NERACA'!F178</f>
        <v>0</v>
      </c>
      <c r="J1730" s="561"/>
      <c r="K1730" s="561"/>
      <c r="L1730" s="560">
        <f>'[1]4.NERACA'!G178</f>
        <v>0</v>
      </c>
      <c r="M1730" s="560"/>
      <c r="N1730" s="560"/>
      <c r="O1730" s="560">
        <f>'[1]4.NERACA'!H178</f>
        <v>0</v>
      </c>
      <c r="P1730" s="560"/>
      <c r="Q1730" s="560"/>
      <c r="R1730" s="560">
        <f>B1730-F1730+I1730-L1730+O1730</f>
        <v>0</v>
      </c>
      <c r="S1730" s="560"/>
      <c r="T1730" s="560"/>
      <c r="U1730" s="560"/>
      <c r="V1730" s="479"/>
      <c r="W1730" s="480"/>
      <c r="X1730" s="480"/>
      <c r="Y1730" s="471" t="e">
        <f t="shared" si="32"/>
        <v>#DIV/0!</v>
      </c>
      <c r="Z1730" s="480"/>
      <c r="AA1730" s="480"/>
      <c r="AB1730" s="480"/>
      <c r="AC1730" s="471">
        <f t="shared" si="33"/>
        <v>0</v>
      </c>
      <c r="AD1730" s="472"/>
      <c r="AE1730" s="472"/>
      <c r="AF1730" s="472"/>
    </row>
    <row r="1731" spans="1:32" s="16" customFormat="1" ht="39.75" customHeight="1" x14ac:dyDescent="0.2">
      <c r="A1731" s="240" t="str">
        <f>'[1]4.NERACA'!C179</f>
        <v>Bagian Lancar Utang Pemerintah Kabupaten/Kota</v>
      </c>
      <c r="B1731" s="557">
        <f>'[1]4.NERACA'!D179</f>
        <v>0</v>
      </c>
      <c r="C1731" s="558"/>
      <c r="D1731" s="558"/>
      <c r="E1731" s="559"/>
      <c r="F1731" s="560">
        <f>'[1]4.NERACA'!E179</f>
        <v>0</v>
      </c>
      <c r="G1731" s="560"/>
      <c r="H1731" s="560"/>
      <c r="I1731" s="561">
        <f>'[1]4.NERACA'!F179</f>
        <v>0</v>
      </c>
      <c r="J1731" s="561"/>
      <c r="K1731" s="561"/>
      <c r="L1731" s="560">
        <f>'[1]4.NERACA'!G179</f>
        <v>0</v>
      </c>
      <c r="M1731" s="560"/>
      <c r="N1731" s="560"/>
      <c r="O1731" s="560">
        <f>'[1]4.NERACA'!H179</f>
        <v>0</v>
      </c>
      <c r="P1731" s="560"/>
      <c r="Q1731" s="560"/>
      <c r="R1731" s="560">
        <f>B1731-F1731+I1731-L1731+O1731</f>
        <v>0</v>
      </c>
      <c r="S1731" s="560"/>
      <c r="T1731" s="560"/>
      <c r="U1731" s="560"/>
      <c r="V1731" s="479"/>
      <c r="W1731" s="480"/>
      <c r="X1731" s="480"/>
      <c r="Y1731" s="471" t="e">
        <f t="shared" si="32"/>
        <v>#DIV/0!</v>
      </c>
      <c r="Z1731" s="480"/>
      <c r="AA1731" s="480"/>
      <c r="AB1731" s="480"/>
      <c r="AC1731" s="471">
        <f t="shared" si="33"/>
        <v>0</v>
      </c>
      <c r="AD1731" s="472"/>
      <c r="AE1731" s="472"/>
      <c r="AF1731" s="472"/>
    </row>
    <row r="1732" spans="1:32" s="16" customFormat="1" ht="22.5" customHeight="1" x14ac:dyDescent="0.2">
      <c r="A1732" s="245" t="s">
        <v>205</v>
      </c>
      <c r="B1732" s="580">
        <f>SUM(B1727:E1731)</f>
        <v>0</v>
      </c>
      <c r="C1732" s="581"/>
      <c r="D1732" s="581"/>
      <c r="E1732" s="582"/>
      <c r="F1732" s="583">
        <f>SUM(F1727:H1731)</f>
        <v>0</v>
      </c>
      <c r="G1732" s="583"/>
      <c r="H1732" s="583"/>
      <c r="I1732" s="561">
        <f>SUM(I1727:K1731)</f>
        <v>0</v>
      </c>
      <c r="J1732" s="561"/>
      <c r="K1732" s="561"/>
      <c r="L1732" s="583">
        <f>SUM(L1727:N1731)</f>
        <v>0</v>
      </c>
      <c r="M1732" s="583"/>
      <c r="N1732" s="583"/>
      <c r="O1732" s="583">
        <f>SUM(O1727:Q1731)</f>
        <v>0</v>
      </c>
      <c r="P1732" s="583"/>
      <c r="Q1732" s="583"/>
      <c r="R1732" s="583">
        <f>SUM(R1727:U1731)</f>
        <v>0</v>
      </c>
      <c r="S1732" s="583"/>
      <c r="T1732" s="583"/>
      <c r="U1732" s="583"/>
      <c r="V1732" s="591"/>
      <c r="W1732" s="592"/>
      <c r="X1732" s="592"/>
      <c r="Y1732" s="593" t="e">
        <f t="shared" si="32"/>
        <v>#DIV/0!</v>
      </c>
      <c r="Z1732" s="592"/>
      <c r="AA1732" s="592"/>
      <c r="AB1732" s="592"/>
      <c r="AC1732" s="593">
        <f t="shared" si="33"/>
        <v>0</v>
      </c>
      <c r="AD1732" s="594"/>
      <c r="AE1732" s="594"/>
      <c r="AF1732" s="594"/>
    </row>
    <row r="1733" spans="1:32" s="16" customFormat="1" ht="22.5" customHeight="1" x14ac:dyDescent="0.2">
      <c r="A1733" s="243"/>
      <c r="B1733" s="203"/>
      <c r="C1733" s="203"/>
      <c r="D1733" s="203"/>
      <c r="E1733" s="203"/>
      <c r="F1733" s="204"/>
      <c r="G1733" s="204"/>
      <c r="H1733" s="204"/>
      <c r="I1733" s="204"/>
      <c r="J1733" s="204"/>
      <c r="K1733" s="204"/>
      <c r="L1733" s="204"/>
      <c r="M1733" s="204"/>
      <c r="N1733" s="204"/>
      <c r="O1733" s="204"/>
      <c r="P1733" s="204"/>
      <c r="Q1733" s="204"/>
      <c r="R1733" s="203"/>
      <c r="S1733" s="203"/>
      <c r="T1733" s="203"/>
      <c r="U1733" s="203"/>
      <c r="V1733" s="595"/>
      <c r="W1733" s="596"/>
      <c r="X1733" s="596"/>
      <c r="Y1733" s="597"/>
      <c r="Z1733" s="596"/>
      <c r="AA1733" s="596"/>
      <c r="AB1733" s="596"/>
      <c r="AC1733" s="597"/>
      <c r="AD1733" s="598"/>
      <c r="AE1733" s="598"/>
      <c r="AF1733" s="598"/>
    </row>
    <row r="1734" spans="1:32" s="16" customFormat="1" ht="22.5" customHeight="1" x14ac:dyDescent="0.2">
      <c r="A1734" s="11"/>
      <c r="B1734" s="10"/>
      <c r="C1734" s="411" t="s">
        <v>529</v>
      </c>
      <c r="D1734" s="411"/>
      <c r="E1734" s="411"/>
      <c r="F1734" s="411"/>
      <c r="G1734" s="411"/>
      <c r="H1734" s="411"/>
      <c r="I1734" s="411"/>
      <c r="J1734" s="411"/>
      <c r="K1734" s="411"/>
      <c r="L1734" s="411"/>
      <c r="M1734" s="411"/>
      <c r="N1734" s="411"/>
      <c r="O1734" s="411"/>
      <c r="P1734" s="411"/>
      <c r="Q1734" s="411"/>
      <c r="R1734" s="411"/>
      <c r="S1734" s="411"/>
      <c r="T1734" s="411"/>
      <c r="U1734" s="411"/>
      <c r="V1734" s="23"/>
    </row>
    <row r="1735" spans="1:32" s="16" customFormat="1" ht="34.5" customHeight="1" x14ac:dyDescent="0.2">
      <c r="A1735" s="11"/>
      <c r="C1735" s="407" t="str">
        <f>"Nilai Pendapatan Diterima di Muka per "&amp;'[1]2.ISIAN DATA SKPD'!D8&amp;" dan "&amp;'[1]2.ISIAN DATA SKPD'!D12&amp;" adalah masing-masing sebesar Rp. "&amp;FIXED(R1744)&amp;"0"</f>
        <v>Nilai Pendapatan Diterima di Muka per 31 Desember 2018 dan 2017 adalah masing-masing sebesar Rp. 256.000,000</v>
      </c>
      <c r="D1735" s="407"/>
      <c r="E1735" s="407"/>
      <c r="F1735" s="407"/>
      <c r="G1735" s="407"/>
      <c r="H1735" s="407"/>
      <c r="I1735" s="407"/>
      <c r="J1735" s="407"/>
      <c r="K1735" s="407"/>
      <c r="L1735" s="407"/>
      <c r="M1735" s="407"/>
      <c r="N1735" s="407"/>
      <c r="O1735" s="407"/>
      <c r="P1735" s="407"/>
      <c r="Q1735" s="407"/>
      <c r="R1735" s="407"/>
      <c r="S1735" s="407"/>
      <c r="T1735" s="407"/>
      <c r="U1735" s="407"/>
      <c r="V1735" s="23"/>
    </row>
    <row r="1736" spans="1:32" s="16" customFormat="1" ht="53.25" customHeight="1" x14ac:dyDescent="0.2">
      <c r="A1736" s="11"/>
      <c r="C1736" s="407" t="s">
        <v>530</v>
      </c>
      <c r="D1736" s="407"/>
      <c r="E1736" s="407"/>
      <c r="F1736" s="407"/>
      <c r="G1736" s="407"/>
      <c r="H1736" s="407"/>
      <c r="I1736" s="407"/>
      <c r="J1736" s="407"/>
      <c r="K1736" s="407"/>
      <c r="L1736" s="407"/>
      <c r="M1736" s="407"/>
      <c r="N1736" s="407"/>
      <c r="O1736" s="407"/>
      <c r="P1736" s="407"/>
      <c r="Q1736" s="407"/>
      <c r="R1736" s="407"/>
      <c r="S1736" s="407"/>
      <c r="T1736" s="407"/>
      <c r="U1736" s="407"/>
      <c r="V1736" s="23"/>
    </row>
    <row r="1737" spans="1:32" s="16" customFormat="1" ht="14.25" customHeight="1" x14ac:dyDescent="0.2">
      <c r="A1737" s="11"/>
      <c r="C1737" s="77"/>
      <c r="D1737" s="77"/>
      <c r="E1737" s="77"/>
      <c r="F1737" s="77"/>
      <c r="G1737" s="77"/>
      <c r="H1737" s="77"/>
      <c r="I1737" s="77"/>
      <c r="J1737" s="77"/>
      <c r="K1737" s="77"/>
      <c r="L1737" s="77"/>
      <c r="M1737" s="77"/>
      <c r="N1737" s="77"/>
      <c r="O1737" s="77"/>
      <c r="P1737" s="77"/>
      <c r="Q1737" s="77"/>
      <c r="R1737" s="77"/>
      <c r="S1737" s="77"/>
      <c r="T1737" s="77"/>
      <c r="U1737" s="77"/>
      <c r="V1737" s="23"/>
    </row>
    <row r="1738" spans="1:32" s="16" customFormat="1" ht="21" customHeight="1" x14ac:dyDescent="0.2">
      <c r="A1738" s="590" t="s">
        <v>125</v>
      </c>
      <c r="B1738" s="562" t="s">
        <v>443</v>
      </c>
      <c r="C1738" s="562"/>
      <c r="D1738" s="562"/>
      <c r="E1738" s="562"/>
      <c r="F1738" s="572" t="s">
        <v>444</v>
      </c>
      <c r="G1738" s="572"/>
      <c r="H1738" s="572"/>
      <c r="I1738" s="572"/>
      <c r="J1738" s="572"/>
      <c r="K1738" s="572"/>
      <c r="L1738" s="572" t="s">
        <v>445</v>
      </c>
      <c r="M1738" s="572"/>
      <c r="N1738" s="572"/>
      <c r="O1738" s="572"/>
      <c r="P1738" s="572"/>
      <c r="Q1738" s="572"/>
      <c r="R1738" s="562" t="s">
        <v>446</v>
      </c>
      <c r="S1738" s="562"/>
      <c r="T1738" s="562"/>
      <c r="U1738" s="562"/>
      <c r="V1738" s="23"/>
    </row>
    <row r="1739" spans="1:32" s="16" customFormat="1" ht="15" customHeight="1" x14ac:dyDescent="0.2">
      <c r="A1739" s="568"/>
      <c r="B1739" s="587">
        <f>B1407</f>
        <v>2017</v>
      </c>
      <c r="C1739" s="588"/>
      <c r="D1739" s="588"/>
      <c r="E1739" s="589"/>
      <c r="F1739" s="585" t="s">
        <v>447</v>
      </c>
      <c r="G1739" s="585"/>
      <c r="H1739" s="585"/>
      <c r="I1739" s="584" t="s">
        <v>448</v>
      </c>
      <c r="J1739" s="584"/>
      <c r="K1739" s="584"/>
      <c r="L1739" s="585" t="s">
        <v>447</v>
      </c>
      <c r="M1739" s="585"/>
      <c r="N1739" s="585"/>
      <c r="O1739" s="586" t="s">
        <v>448</v>
      </c>
      <c r="P1739" s="586"/>
      <c r="Q1739" s="586"/>
      <c r="R1739" s="587">
        <f>R1407</f>
        <v>2018</v>
      </c>
      <c r="S1739" s="588"/>
      <c r="T1739" s="588"/>
      <c r="U1739" s="589"/>
      <c r="V1739" s="487"/>
      <c r="W1739" s="480"/>
      <c r="X1739" s="480"/>
      <c r="Y1739" s="471" t="s">
        <v>449</v>
      </c>
      <c r="Z1739" s="480"/>
      <c r="AA1739" s="480"/>
      <c r="AB1739" s="480"/>
      <c r="AC1739" s="488" t="s">
        <v>438</v>
      </c>
      <c r="AD1739" s="489"/>
      <c r="AE1739" s="489"/>
      <c r="AF1739" s="489"/>
    </row>
    <row r="1740" spans="1:32" s="16" customFormat="1" ht="58.5" customHeight="1" x14ac:dyDescent="0.2">
      <c r="A1740" s="240" t="str">
        <f>'[1]4.NERACA'!C181</f>
        <v>Setoran Kelebihan Pembayaran Dari Pihak III</v>
      </c>
      <c r="B1740" s="557">
        <f>'[1]4.NERACA'!D181</f>
        <v>0</v>
      </c>
      <c r="C1740" s="558"/>
      <c r="D1740" s="558"/>
      <c r="E1740" s="559"/>
      <c r="F1740" s="560">
        <f>'[1]4.NERACA'!E181</f>
        <v>0</v>
      </c>
      <c r="G1740" s="560"/>
      <c r="H1740" s="560"/>
      <c r="I1740" s="561">
        <f>'[1]4.NERACA'!F181</f>
        <v>0</v>
      </c>
      <c r="J1740" s="561"/>
      <c r="K1740" s="561"/>
      <c r="L1740" s="560">
        <f>'[1]4.NERACA'!G181</f>
        <v>0</v>
      </c>
      <c r="M1740" s="560"/>
      <c r="N1740" s="560"/>
      <c r="O1740" s="560">
        <f>'[1]4.NERACA'!H181</f>
        <v>0</v>
      </c>
      <c r="P1740" s="560"/>
      <c r="Q1740" s="560"/>
      <c r="R1740" s="560">
        <f>B1740-F1740+I1740-L1740+O1740</f>
        <v>0</v>
      </c>
      <c r="S1740" s="560"/>
      <c r="T1740" s="560"/>
      <c r="U1740" s="560"/>
      <c r="V1740" s="479"/>
      <c r="W1740" s="480"/>
      <c r="X1740" s="480"/>
      <c r="Y1740" s="471" t="e">
        <f>(R1740-B1740)/B1740*100</f>
        <v>#DIV/0!</v>
      </c>
      <c r="Z1740" s="480"/>
      <c r="AA1740" s="480"/>
      <c r="AB1740" s="480"/>
      <c r="AC1740" s="471">
        <f>R1740-B1740</f>
        <v>0</v>
      </c>
      <c r="AD1740" s="472"/>
      <c r="AE1740" s="472"/>
      <c r="AF1740" s="472"/>
    </row>
    <row r="1741" spans="1:32" s="16" customFormat="1" ht="59.25" customHeight="1" x14ac:dyDescent="0.2">
      <c r="A1741" s="240" t="str">
        <f>'[1]4.NERACA'!C182</f>
        <v>Uang Muka Penjualan Produk Pemda Dari Pihak III</v>
      </c>
      <c r="B1741" s="557">
        <f>'[1]4.NERACA'!D182</f>
        <v>0</v>
      </c>
      <c r="C1741" s="558"/>
      <c r="D1741" s="558"/>
      <c r="E1741" s="559"/>
      <c r="F1741" s="560">
        <f>'[1]4.NERACA'!E182</f>
        <v>0</v>
      </c>
      <c r="G1741" s="560"/>
      <c r="H1741" s="560"/>
      <c r="I1741" s="561">
        <f>'[1]4.NERACA'!F182</f>
        <v>0</v>
      </c>
      <c r="J1741" s="561"/>
      <c r="K1741" s="561"/>
      <c r="L1741" s="560">
        <f>'[1]4.NERACA'!G182</f>
        <v>0</v>
      </c>
      <c r="M1741" s="560"/>
      <c r="N1741" s="560"/>
      <c r="O1741" s="560">
        <f>'[1]4.NERACA'!H182</f>
        <v>0</v>
      </c>
      <c r="P1741" s="560"/>
      <c r="Q1741" s="560"/>
      <c r="R1741" s="560">
        <f>B1741-F1741+I1741-L1741+O1741</f>
        <v>0</v>
      </c>
      <c r="S1741" s="560"/>
      <c r="T1741" s="560"/>
      <c r="U1741" s="560"/>
      <c r="V1741" s="479"/>
      <c r="W1741" s="480"/>
      <c r="X1741" s="480"/>
      <c r="Y1741" s="471" t="e">
        <f>(R1741-B1741)/B1741*100</f>
        <v>#DIV/0!</v>
      </c>
      <c r="Z1741" s="480"/>
      <c r="AA1741" s="480"/>
      <c r="AB1741" s="480"/>
      <c r="AC1741" s="471">
        <f>R1741-B1741</f>
        <v>0</v>
      </c>
      <c r="AD1741" s="472"/>
      <c r="AE1741" s="472"/>
      <c r="AF1741" s="472"/>
    </row>
    <row r="1742" spans="1:32" s="16" customFormat="1" ht="59.25" customHeight="1" x14ac:dyDescent="0.2">
      <c r="A1742" s="240" t="str">
        <f>'[1]4.NERACA'!C183</f>
        <v>Uang Muka Lelang Penjualan Aset Daerah</v>
      </c>
      <c r="B1742" s="557">
        <f>'[1]4.NERACA'!D183</f>
        <v>0</v>
      </c>
      <c r="C1742" s="558"/>
      <c r="D1742" s="558"/>
      <c r="E1742" s="559"/>
      <c r="F1742" s="560">
        <f>'[1]4.NERACA'!E183</f>
        <v>0</v>
      </c>
      <c r="G1742" s="560"/>
      <c r="H1742" s="560"/>
      <c r="I1742" s="561">
        <f>'[1]4.NERACA'!F183</f>
        <v>0</v>
      </c>
      <c r="J1742" s="561"/>
      <c r="K1742" s="561"/>
      <c r="L1742" s="560">
        <f>'[1]4.NERACA'!G183</f>
        <v>0</v>
      </c>
      <c r="M1742" s="560"/>
      <c r="N1742" s="560"/>
      <c r="O1742" s="560">
        <f>'[1]4.NERACA'!H183</f>
        <v>0</v>
      </c>
      <c r="P1742" s="560"/>
      <c r="Q1742" s="560"/>
      <c r="R1742" s="560">
        <f>B1742-F1742+I1742-L1742+O1742</f>
        <v>0</v>
      </c>
      <c r="S1742" s="560"/>
      <c r="T1742" s="560"/>
      <c r="U1742" s="560"/>
      <c r="V1742" s="479"/>
      <c r="W1742" s="480"/>
      <c r="X1742" s="480"/>
      <c r="Y1742" s="471" t="e">
        <f>(R1742-B1742)/B1742*100</f>
        <v>#DIV/0!</v>
      </c>
      <c r="Z1742" s="480"/>
      <c r="AA1742" s="480"/>
      <c r="AB1742" s="480"/>
      <c r="AC1742" s="471">
        <f>R1742-B1742</f>
        <v>0</v>
      </c>
      <c r="AD1742" s="472"/>
      <c r="AE1742" s="472"/>
      <c r="AF1742" s="472"/>
    </row>
    <row r="1743" spans="1:32" s="16" customFormat="1" ht="42.75" customHeight="1" x14ac:dyDescent="0.2">
      <c r="A1743" s="240" t="str">
        <f>'[1]4.NERACA'!C184</f>
        <v>Pendapatan Diterima Dimuka lainnya</v>
      </c>
      <c r="B1743" s="557">
        <f>'[1]4.NERACA'!D184</f>
        <v>256000</v>
      </c>
      <c r="C1743" s="558"/>
      <c r="D1743" s="558"/>
      <c r="E1743" s="559"/>
      <c r="F1743" s="560">
        <f>'[1]4.NERACA'!E184</f>
        <v>0</v>
      </c>
      <c r="G1743" s="560"/>
      <c r="H1743" s="560"/>
      <c r="I1743" s="561">
        <f>'[1]4.NERACA'!F184</f>
        <v>0</v>
      </c>
      <c r="J1743" s="561"/>
      <c r="K1743" s="561"/>
      <c r="L1743" s="560">
        <f>'[1]4.NERACA'!G184</f>
        <v>0</v>
      </c>
      <c r="M1743" s="560"/>
      <c r="N1743" s="560"/>
      <c r="O1743" s="560">
        <f>'[1]4.NERACA'!H184</f>
        <v>0</v>
      </c>
      <c r="P1743" s="560"/>
      <c r="Q1743" s="560"/>
      <c r="R1743" s="560">
        <f>B1743-F1743+I1743-L1743+O1743</f>
        <v>256000</v>
      </c>
      <c r="S1743" s="560"/>
      <c r="T1743" s="560"/>
      <c r="U1743" s="560"/>
      <c r="V1743" s="479"/>
      <c r="W1743" s="480"/>
      <c r="X1743" s="480"/>
      <c r="Y1743" s="471">
        <f>(R1743-B1743)/B1743*100</f>
        <v>0</v>
      </c>
      <c r="Z1743" s="480"/>
      <c r="AA1743" s="480"/>
      <c r="AB1743" s="480"/>
      <c r="AC1743" s="471">
        <f>R1743-B1743</f>
        <v>0</v>
      </c>
      <c r="AD1743" s="472"/>
      <c r="AE1743" s="472"/>
      <c r="AF1743" s="472"/>
    </row>
    <row r="1744" spans="1:32" s="16" customFormat="1" ht="22.5" customHeight="1" x14ac:dyDescent="0.2">
      <c r="A1744" s="242" t="s">
        <v>205</v>
      </c>
      <c r="B1744" s="580">
        <f>SUM(B1740:E1743)</f>
        <v>256000</v>
      </c>
      <c r="C1744" s="581"/>
      <c r="D1744" s="581"/>
      <c r="E1744" s="582"/>
      <c r="F1744" s="583">
        <f>SUM(F1740:H1743)</f>
        <v>0</v>
      </c>
      <c r="G1744" s="583"/>
      <c r="H1744" s="583"/>
      <c r="I1744" s="561">
        <f>SUM(I1740:K1743)</f>
        <v>0</v>
      </c>
      <c r="J1744" s="561"/>
      <c r="K1744" s="561"/>
      <c r="L1744" s="583">
        <f>SUM(L1740:N1743)</f>
        <v>0</v>
      </c>
      <c r="M1744" s="583"/>
      <c r="N1744" s="583"/>
      <c r="O1744" s="583">
        <f>SUM(O1740:Q1743)</f>
        <v>0</v>
      </c>
      <c r="P1744" s="583"/>
      <c r="Q1744" s="583"/>
      <c r="R1744" s="583">
        <f>SUM(R1740:U1743)</f>
        <v>256000</v>
      </c>
      <c r="S1744" s="583"/>
      <c r="T1744" s="583"/>
      <c r="U1744" s="583"/>
      <c r="V1744" s="479"/>
      <c r="W1744" s="480"/>
      <c r="X1744" s="480"/>
      <c r="Y1744" s="471">
        <f>(R1744-B1744)/B1744*100</f>
        <v>0</v>
      </c>
      <c r="Z1744" s="480"/>
      <c r="AA1744" s="480"/>
      <c r="AB1744" s="480"/>
      <c r="AC1744" s="471">
        <f>R1744-B1744</f>
        <v>0</v>
      </c>
      <c r="AD1744" s="472"/>
      <c r="AE1744" s="472"/>
      <c r="AF1744" s="472"/>
    </row>
    <row r="1745" spans="1:32" s="16" customFormat="1" ht="22.5" customHeight="1" x14ac:dyDescent="0.2">
      <c r="A1745" s="11"/>
      <c r="B1745" s="77"/>
      <c r="C1745" s="77"/>
      <c r="D1745" s="77"/>
      <c r="E1745" s="77"/>
      <c r="F1745" s="77"/>
      <c r="G1745" s="77"/>
      <c r="H1745" s="77"/>
      <c r="I1745" s="77"/>
      <c r="J1745" s="77"/>
      <c r="K1745" s="77"/>
      <c r="L1745" s="77"/>
      <c r="M1745" s="77"/>
      <c r="N1745" s="77"/>
      <c r="O1745" s="77"/>
      <c r="P1745" s="77"/>
      <c r="Q1745" s="77"/>
      <c r="R1745" s="77"/>
      <c r="S1745" s="77"/>
      <c r="T1745" s="37"/>
      <c r="U1745" s="37"/>
      <c r="V1745" s="576"/>
      <c r="W1745" s="577"/>
      <c r="X1745" s="577"/>
      <c r="Y1745" s="578"/>
      <c r="Z1745" s="577"/>
      <c r="AA1745" s="577"/>
      <c r="AB1745" s="577"/>
      <c r="AC1745" s="578"/>
      <c r="AD1745" s="579"/>
      <c r="AE1745" s="579"/>
      <c r="AF1745" s="579"/>
    </row>
    <row r="1746" spans="1:32" s="16" customFormat="1" ht="22.5" customHeight="1" x14ac:dyDescent="0.2">
      <c r="A1746" s="11"/>
      <c r="B1746" s="10"/>
      <c r="C1746" s="411" t="s">
        <v>531</v>
      </c>
      <c r="D1746" s="411"/>
      <c r="E1746" s="411"/>
      <c r="F1746" s="411"/>
      <c r="G1746" s="411"/>
      <c r="H1746" s="411"/>
      <c r="I1746" s="411"/>
      <c r="J1746" s="411"/>
      <c r="K1746" s="411"/>
      <c r="L1746" s="411"/>
      <c r="M1746" s="411"/>
      <c r="N1746" s="411"/>
      <c r="O1746" s="411"/>
      <c r="P1746" s="411"/>
      <c r="Q1746" s="411"/>
      <c r="R1746" s="411"/>
      <c r="S1746" s="411"/>
      <c r="T1746" s="411"/>
      <c r="U1746" s="411"/>
      <c r="V1746" s="23"/>
    </row>
    <row r="1747" spans="1:32" s="16" customFormat="1" ht="65.25" customHeight="1" x14ac:dyDescent="0.2">
      <c r="A1747" s="11"/>
      <c r="C1747" s="407" t="str">
        <f>"Nilai Utang Belanja per "&amp;'[1]2.ISIAN DATA SKPD'!D8&amp;" dan "&amp;'[1]2.ISIAN DATA SKPD'!D12&amp;"  adalah masing-masing sebesar Rp. "&amp;FIXED(R1757)&amp;" dan Rp. "&amp;FIXED(B1757)&amp;" mengalami kenaikan sebesar Rp. "&amp;FIXED(AC1757)&amp;" atau "&amp;FIXED(Y1757)&amp;"% dari tahun "&amp;'[1]2.ISIAN DATA SKPD'!D12&amp;"."</f>
        <v>Nilai Utang Belanja per 31 Desember 2018 dan 2017  adalah masing-masing sebesar Rp. 8.891.040,00 dan Rp. 2.770.308,00 mengalami kenaikan sebesar Rp. 6.120.732,00 atau 220,94% dari tahun 2017.</v>
      </c>
      <c r="D1747" s="407"/>
      <c r="E1747" s="407"/>
      <c r="F1747" s="407"/>
      <c r="G1747" s="407"/>
      <c r="H1747" s="407"/>
      <c r="I1747" s="407"/>
      <c r="J1747" s="407"/>
      <c r="K1747" s="407"/>
      <c r="L1747" s="407"/>
      <c r="M1747" s="407"/>
      <c r="N1747" s="407"/>
      <c r="O1747" s="407"/>
      <c r="P1747" s="407"/>
      <c r="Q1747" s="407"/>
      <c r="R1747" s="407"/>
      <c r="S1747" s="407"/>
      <c r="T1747" s="407"/>
      <c r="U1747" s="407"/>
      <c r="V1747" s="23"/>
    </row>
    <row r="1748" spans="1:32" s="16" customFormat="1" ht="13.5" customHeight="1" x14ac:dyDescent="0.2">
      <c r="A1748" s="11"/>
      <c r="C1748" s="225"/>
      <c r="D1748" s="225"/>
      <c r="E1748" s="225"/>
      <c r="F1748" s="225"/>
      <c r="G1748" s="225"/>
      <c r="H1748" s="225"/>
      <c r="I1748" s="225"/>
      <c r="J1748" s="225"/>
      <c r="K1748" s="225"/>
      <c r="L1748" s="225"/>
      <c r="M1748" s="225"/>
      <c r="N1748" s="225"/>
      <c r="O1748" s="225"/>
      <c r="P1748" s="225"/>
      <c r="Q1748" s="225"/>
      <c r="R1748" s="225"/>
      <c r="S1748" s="225"/>
      <c r="T1748" s="225"/>
      <c r="U1748" s="225"/>
      <c r="V1748" s="23"/>
    </row>
    <row r="1749" spans="1:32" s="16" customFormat="1" ht="22.5" customHeight="1" x14ac:dyDescent="0.2">
      <c r="A1749" s="567" t="s">
        <v>125</v>
      </c>
      <c r="B1749" s="569" t="s">
        <v>443</v>
      </c>
      <c r="C1749" s="570"/>
      <c r="D1749" s="570"/>
      <c r="E1749" s="571"/>
      <c r="F1749" s="572" t="s">
        <v>444</v>
      </c>
      <c r="G1749" s="572"/>
      <c r="H1749" s="572"/>
      <c r="I1749" s="572"/>
      <c r="J1749" s="572"/>
      <c r="K1749" s="572"/>
      <c r="L1749" s="572" t="s">
        <v>445</v>
      </c>
      <c r="M1749" s="572"/>
      <c r="N1749" s="572"/>
      <c r="O1749" s="572"/>
      <c r="P1749" s="572"/>
      <c r="Q1749" s="572"/>
      <c r="R1749" s="562" t="s">
        <v>446</v>
      </c>
      <c r="S1749" s="562"/>
      <c r="T1749" s="562"/>
      <c r="U1749" s="562"/>
      <c r="V1749" s="23"/>
    </row>
    <row r="1750" spans="1:32" s="16" customFormat="1" ht="22.5" customHeight="1" x14ac:dyDescent="0.2">
      <c r="A1750" s="568"/>
      <c r="B1750" s="564">
        <f>B1739</f>
        <v>2017</v>
      </c>
      <c r="C1750" s="565"/>
      <c r="D1750" s="565"/>
      <c r="E1750" s="566"/>
      <c r="F1750" s="562" t="s">
        <v>447</v>
      </c>
      <c r="G1750" s="562"/>
      <c r="H1750" s="562"/>
      <c r="I1750" s="573" t="s">
        <v>448</v>
      </c>
      <c r="J1750" s="573"/>
      <c r="K1750" s="573"/>
      <c r="L1750" s="562" t="s">
        <v>447</v>
      </c>
      <c r="M1750" s="562"/>
      <c r="N1750" s="562"/>
      <c r="O1750" s="563" t="s">
        <v>448</v>
      </c>
      <c r="P1750" s="563"/>
      <c r="Q1750" s="563"/>
      <c r="R1750" s="564">
        <f>R1739</f>
        <v>2018</v>
      </c>
      <c r="S1750" s="565"/>
      <c r="T1750" s="565"/>
      <c r="U1750" s="566"/>
      <c r="V1750" s="487"/>
      <c r="W1750" s="480"/>
      <c r="X1750" s="480"/>
      <c r="Y1750" s="471" t="s">
        <v>449</v>
      </c>
      <c r="Z1750" s="480"/>
      <c r="AA1750" s="480"/>
      <c r="AB1750" s="480"/>
      <c r="AC1750" s="488" t="s">
        <v>438</v>
      </c>
      <c r="AD1750" s="489"/>
      <c r="AE1750" s="489"/>
      <c r="AF1750" s="489"/>
    </row>
    <row r="1751" spans="1:32" s="16" customFormat="1" ht="32.25" customHeight="1" x14ac:dyDescent="0.2">
      <c r="A1751" s="240" t="str">
        <f>'[1]4.NERACA'!C186</f>
        <v>Utang Belanja Pegawai</v>
      </c>
      <c r="B1751" s="557">
        <f>'[1]4.NERACA'!D186</f>
        <v>0</v>
      </c>
      <c r="C1751" s="558"/>
      <c r="D1751" s="558"/>
      <c r="E1751" s="559"/>
      <c r="F1751" s="560">
        <f>'[1]4.NERACA'!E186</f>
        <v>0</v>
      </c>
      <c r="G1751" s="560"/>
      <c r="H1751" s="560"/>
      <c r="I1751" s="561">
        <f>'[1]4.NERACA'!F186</f>
        <v>0</v>
      </c>
      <c r="J1751" s="561"/>
      <c r="K1751" s="561"/>
      <c r="L1751" s="575">
        <f>'[1]4.NERACA'!G186</f>
        <v>0</v>
      </c>
      <c r="M1751" s="575"/>
      <c r="N1751" s="575"/>
      <c r="O1751" s="575">
        <f>'[1]4.NERACA'!H186</f>
        <v>0</v>
      </c>
      <c r="P1751" s="575"/>
      <c r="Q1751" s="575"/>
      <c r="R1751" s="560">
        <f t="shared" ref="R1751:R1756" si="34">B1751-F1751+I1751-L1751+O1751</f>
        <v>0</v>
      </c>
      <c r="S1751" s="560"/>
      <c r="T1751" s="560"/>
      <c r="U1751" s="560"/>
      <c r="V1751" s="479"/>
      <c r="W1751" s="480"/>
      <c r="X1751" s="480"/>
      <c r="Y1751" s="471" t="e">
        <f t="shared" ref="Y1751:Y1757" si="35">(R1751-B1751)/B1751*100</f>
        <v>#DIV/0!</v>
      </c>
      <c r="Z1751" s="480"/>
      <c r="AA1751" s="480"/>
      <c r="AB1751" s="480"/>
      <c r="AC1751" s="471">
        <f t="shared" ref="AC1751:AC1757" si="36">R1751-B1751</f>
        <v>0</v>
      </c>
      <c r="AD1751" s="472"/>
      <c r="AE1751" s="472"/>
      <c r="AF1751" s="472"/>
    </row>
    <row r="1752" spans="1:32" s="16" customFormat="1" ht="47.25" customHeight="1" x14ac:dyDescent="0.2">
      <c r="A1752" s="240" t="str">
        <f>'[1]4.NERACA'!C187</f>
        <v>Utang Belanja Barang dan Jasa</v>
      </c>
      <c r="B1752" s="557">
        <f>'[1]4.NERACA'!D187</f>
        <v>2770308</v>
      </c>
      <c r="C1752" s="558"/>
      <c r="D1752" s="558"/>
      <c r="E1752" s="559"/>
      <c r="F1752" s="560">
        <f>'[1]4.NERACA'!E187</f>
        <v>2770308</v>
      </c>
      <c r="G1752" s="560"/>
      <c r="H1752" s="560"/>
      <c r="I1752" s="561">
        <f>'[1]4.NERACA'!F187</f>
        <v>8891040</v>
      </c>
      <c r="J1752" s="561"/>
      <c r="K1752" s="561"/>
      <c r="L1752" s="575">
        <f>'[1]4.NERACA'!G187</f>
        <v>0</v>
      </c>
      <c r="M1752" s="575"/>
      <c r="N1752" s="575"/>
      <c r="O1752" s="575">
        <f>'[1]4.NERACA'!H187</f>
        <v>0</v>
      </c>
      <c r="P1752" s="575"/>
      <c r="Q1752" s="575"/>
      <c r="R1752" s="560">
        <f t="shared" si="34"/>
        <v>8891040</v>
      </c>
      <c r="S1752" s="560"/>
      <c r="T1752" s="560"/>
      <c r="U1752" s="560"/>
      <c r="V1752" s="479"/>
      <c r="W1752" s="480"/>
      <c r="X1752" s="480"/>
      <c r="Y1752" s="471">
        <f t="shared" si="35"/>
        <v>220.94048748370216</v>
      </c>
      <c r="Z1752" s="480"/>
      <c r="AA1752" s="480"/>
      <c r="AB1752" s="480"/>
      <c r="AC1752" s="471">
        <f t="shared" si="36"/>
        <v>6120732</v>
      </c>
      <c r="AD1752" s="472"/>
      <c r="AE1752" s="472"/>
      <c r="AF1752" s="472"/>
    </row>
    <row r="1753" spans="1:32" s="16" customFormat="1" ht="33.75" customHeight="1" x14ac:dyDescent="0.2">
      <c r="A1753" s="240" t="str">
        <f>'[1]4.NERACA'!C188</f>
        <v>Utang Belanja Modal</v>
      </c>
      <c r="B1753" s="557">
        <f>'[1]4.NERACA'!D188</f>
        <v>0</v>
      </c>
      <c r="C1753" s="558"/>
      <c r="D1753" s="558"/>
      <c r="E1753" s="559"/>
      <c r="F1753" s="560">
        <f>'[1]4.NERACA'!E188</f>
        <v>0</v>
      </c>
      <c r="G1753" s="560"/>
      <c r="H1753" s="560"/>
      <c r="I1753" s="561">
        <f>'[1]4.NERACA'!F188</f>
        <v>0</v>
      </c>
      <c r="J1753" s="561"/>
      <c r="K1753" s="561"/>
      <c r="L1753" s="560">
        <f>'[1]4.NERACA'!G188</f>
        <v>0</v>
      </c>
      <c r="M1753" s="560"/>
      <c r="N1753" s="560"/>
      <c r="O1753" s="560">
        <f>'[1]4.NERACA'!H188</f>
        <v>0</v>
      </c>
      <c r="P1753" s="560"/>
      <c r="Q1753" s="560"/>
      <c r="R1753" s="560">
        <f t="shared" si="34"/>
        <v>0</v>
      </c>
      <c r="S1753" s="560"/>
      <c r="T1753" s="560"/>
      <c r="U1753" s="560"/>
      <c r="V1753" s="479"/>
      <c r="W1753" s="480"/>
      <c r="X1753" s="480"/>
      <c r="Y1753" s="471" t="e">
        <f t="shared" si="35"/>
        <v>#DIV/0!</v>
      </c>
      <c r="Z1753" s="480"/>
      <c r="AA1753" s="480"/>
      <c r="AB1753" s="480"/>
      <c r="AC1753" s="471">
        <f t="shared" si="36"/>
        <v>0</v>
      </c>
      <c r="AD1753" s="472"/>
      <c r="AE1753" s="472"/>
      <c r="AF1753" s="472"/>
    </row>
    <row r="1754" spans="1:32" s="16" customFormat="1" ht="33" customHeight="1" x14ac:dyDescent="0.2">
      <c r="A1754" s="240" t="str">
        <f>'[1]4.NERACA'!C189</f>
        <v>Utang Belanja Subsidi</v>
      </c>
      <c r="B1754" s="557">
        <f>'[1]4.NERACA'!D189</f>
        <v>0</v>
      </c>
      <c r="C1754" s="558"/>
      <c r="D1754" s="558"/>
      <c r="E1754" s="559"/>
      <c r="F1754" s="560">
        <f>'[1]4.NERACA'!E189</f>
        <v>0</v>
      </c>
      <c r="G1754" s="560"/>
      <c r="H1754" s="560"/>
      <c r="I1754" s="561">
        <f>'[1]4.NERACA'!F189</f>
        <v>0</v>
      </c>
      <c r="J1754" s="561"/>
      <c r="K1754" s="561"/>
      <c r="L1754" s="560">
        <f>'[1]4.NERACA'!G189</f>
        <v>0</v>
      </c>
      <c r="M1754" s="560"/>
      <c r="N1754" s="560"/>
      <c r="O1754" s="560">
        <f>'[1]4.NERACA'!H189</f>
        <v>0</v>
      </c>
      <c r="P1754" s="560"/>
      <c r="Q1754" s="560"/>
      <c r="R1754" s="560">
        <f t="shared" si="34"/>
        <v>0</v>
      </c>
      <c r="S1754" s="560"/>
      <c r="T1754" s="560"/>
      <c r="U1754" s="560"/>
      <c r="V1754" s="479"/>
      <c r="W1754" s="480"/>
      <c r="X1754" s="480"/>
      <c r="Y1754" s="471" t="e">
        <f t="shared" si="35"/>
        <v>#DIV/0!</v>
      </c>
      <c r="Z1754" s="480"/>
      <c r="AA1754" s="480"/>
      <c r="AB1754" s="480"/>
      <c r="AC1754" s="471">
        <f t="shared" si="36"/>
        <v>0</v>
      </c>
      <c r="AD1754" s="472"/>
      <c r="AE1754" s="472"/>
      <c r="AF1754" s="472"/>
    </row>
    <row r="1755" spans="1:32" s="16" customFormat="1" ht="52.5" customHeight="1" x14ac:dyDescent="0.2">
      <c r="A1755" s="240" t="str">
        <f>'[1]4.NERACA'!C190</f>
        <v>Utang Transfer Pemerintah Daerah Lainnya</v>
      </c>
      <c r="B1755" s="557">
        <f>'[1]4.NERACA'!D190</f>
        <v>0</v>
      </c>
      <c r="C1755" s="558"/>
      <c r="D1755" s="558"/>
      <c r="E1755" s="559"/>
      <c r="F1755" s="560">
        <f>'[1]4.NERACA'!E190</f>
        <v>0</v>
      </c>
      <c r="G1755" s="560"/>
      <c r="H1755" s="560"/>
      <c r="I1755" s="561">
        <f>'[1]4.NERACA'!F190</f>
        <v>0</v>
      </c>
      <c r="J1755" s="561"/>
      <c r="K1755" s="561"/>
      <c r="L1755" s="560">
        <f>'[1]4.NERACA'!G190</f>
        <v>0</v>
      </c>
      <c r="M1755" s="560"/>
      <c r="N1755" s="560"/>
      <c r="O1755" s="560">
        <f>'[1]4.NERACA'!H190</f>
        <v>0</v>
      </c>
      <c r="P1755" s="560"/>
      <c r="Q1755" s="560"/>
      <c r="R1755" s="560">
        <f t="shared" si="34"/>
        <v>0</v>
      </c>
      <c r="S1755" s="560"/>
      <c r="T1755" s="560"/>
      <c r="U1755" s="560"/>
      <c r="V1755" s="479"/>
      <c r="W1755" s="480"/>
      <c r="X1755" s="480"/>
      <c r="Y1755" s="471" t="e">
        <f t="shared" si="35"/>
        <v>#DIV/0!</v>
      </c>
      <c r="Z1755" s="480"/>
      <c r="AA1755" s="480"/>
      <c r="AB1755" s="480"/>
      <c r="AC1755" s="471">
        <f t="shared" si="36"/>
        <v>0</v>
      </c>
      <c r="AD1755" s="472"/>
      <c r="AE1755" s="472"/>
      <c r="AF1755" s="472"/>
    </row>
    <row r="1756" spans="1:32" s="16" customFormat="1" ht="32.25" customHeight="1" x14ac:dyDescent="0.2">
      <c r="A1756" s="240" t="str">
        <f>'[1]4.NERACA'!C191</f>
        <v>Utang Belanja Lain-lain</v>
      </c>
      <c r="B1756" s="557">
        <f>'[1]4.NERACA'!D191</f>
        <v>0</v>
      </c>
      <c r="C1756" s="558"/>
      <c r="D1756" s="558"/>
      <c r="E1756" s="559"/>
      <c r="F1756" s="560">
        <f>'[1]4.NERACA'!E191</f>
        <v>0</v>
      </c>
      <c r="G1756" s="560"/>
      <c r="H1756" s="560"/>
      <c r="I1756" s="561">
        <f>'[1]4.NERACA'!F191</f>
        <v>0</v>
      </c>
      <c r="J1756" s="561"/>
      <c r="K1756" s="561"/>
      <c r="L1756" s="560">
        <f>'[1]4.NERACA'!G191</f>
        <v>0</v>
      </c>
      <c r="M1756" s="560"/>
      <c r="N1756" s="560"/>
      <c r="O1756" s="560">
        <f>'[1]4.NERACA'!H191</f>
        <v>0</v>
      </c>
      <c r="P1756" s="560"/>
      <c r="Q1756" s="560"/>
      <c r="R1756" s="560">
        <f t="shared" si="34"/>
        <v>0</v>
      </c>
      <c r="S1756" s="560"/>
      <c r="T1756" s="560"/>
      <c r="U1756" s="560"/>
      <c r="V1756" s="479"/>
      <c r="W1756" s="480"/>
      <c r="X1756" s="480"/>
      <c r="Y1756" s="471" t="e">
        <f t="shared" si="35"/>
        <v>#DIV/0!</v>
      </c>
      <c r="Z1756" s="480"/>
      <c r="AA1756" s="480"/>
      <c r="AB1756" s="480"/>
      <c r="AC1756" s="471">
        <f t="shared" si="36"/>
        <v>0</v>
      </c>
      <c r="AD1756" s="472"/>
      <c r="AE1756" s="472"/>
      <c r="AF1756" s="472"/>
    </row>
    <row r="1757" spans="1:32" s="16" customFormat="1" ht="22.5" customHeight="1" x14ac:dyDescent="0.2">
      <c r="A1757" s="245" t="s">
        <v>205</v>
      </c>
      <c r="B1757" s="552">
        <f>SUM(B1751:E1756)</f>
        <v>2770308</v>
      </c>
      <c r="C1757" s="553"/>
      <c r="D1757" s="553"/>
      <c r="E1757" s="554"/>
      <c r="F1757" s="555">
        <f>SUM(F1751:H1756)</f>
        <v>2770308</v>
      </c>
      <c r="G1757" s="555"/>
      <c r="H1757" s="555"/>
      <c r="I1757" s="556">
        <f>SUM(I1751:K1756)</f>
        <v>8891040</v>
      </c>
      <c r="J1757" s="556"/>
      <c r="K1757" s="556"/>
      <c r="L1757" s="574">
        <f>SUM(L1751:N1756)</f>
        <v>0</v>
      </c>
      <c r="M1757" s="574"/>
      <c r="N1757" s="574"/>
      <c r="O1757" s="574">
        <f>SUM(O1751:Q1756)</f>
        <v>0</v>
      </c>
      <c r="P1757" s="574"/>
      <c r="Q1757" s="574"/>
      <c r="R1757" s="555">
        <f>SUM(R1751:U1756)</f>
        <v>8891040</v>
      </c>
      <c r="S1757" s="555"/>
      <c r="T1757" s="555"/>
      <c r="U1757" s="555"/>
      <c r="V1757" s="479"/>
      <c r="W1757" s="480"/>
      <c r="X1757" s="480"/>
      <c r="Y1757" s="471">
        <f t="shared" si="35"/>
        <v>220.94048748370216</v>
      </c>
      <c r="Z1757" s="480"/>
      <c r="AA1757" s="480"/>
      <c r="AB1757" s="480"/>
      <c r="AC1757" s="471">
        <f t="shared" si="36"/>
        <v>6120732</v>
      </c>
      <c r="AD1757" s="472"/>
      <c r="AE1757" s="472"/>
      <c r="AF1757" s="472"/>
    </row>
    <row r="1758" spans="1:32" s="16" customFormat="1" ht="22.5" customHeight="1" x14ac:dyDescent="0.2">
      <c r="A1758" s="11"/>
      <c r="B1758" s="77"/>
      <c r="C1758" s="77"/>
      <c r="D1758" s="77"/>
      <c r="E1758" s="77"/>
      <c r="F1758" s="77"/>
      <c r="G1758" s="77"/>
      <c r="H1758" s="77"/>
      <c r="I1758" s="77"/>
      <c r="J1758" s="77"/>
      <c r="K1758" s="77"/>
      <c r="L1758" s="77"/>
      <c r="M1758" s="77"/>
      <c r="N1758" s="77"/>
      <c r="O1758" s="77"/>
      <c r="P1758" s="77"/>
      <c r="Q1758" s="77"/>
      <c r="R1758" s="77"/>
      <c r="S1758" s="77"/>
      <c r="T1758" s="37"/>
      <c r="U1758" s="37"/>
      <c r="V1758" s="23"/>
    </row>
    <row r="1759" spans="1:32" s="16" customFormat="1" ht="22.5" customHeight="1" x14ac:dyDescent="0.2">
      <c r="A1759" s="11"/>
      <c r="B1759" s="10"/>
      <c r="C1759" s="411" t="s">
        <v>532</v>
      </c>
      <c r="D1759" s="411"/>
      <c r="E1759" s="411"/>
      <c r="F1759" s="411"/>
      <c r="G1759" s="411"/>
      <c r="H1759" s="411"/>
      <c r="I1759" s="411"/>
      <c r="J1759" s="411"/>
      <c r="K1759" s="411"/>
      <c r="L1759" s="411"/>
      <c r="M1759" s="411"/>
      <c r="N1759" s="411"/>
      <c r="O1759" s="411"/>
      <c r="P1759" s="411"/>
      <c r="Q1759" s="411"/>
      <c r="R1759" s="411"/>
      <c r="S1759" s="411"/>
      <c r="T1759" s="411"/>
      <c r="U1759" s="411"/>
      <c r="V1759" s="23"/>
    </row>
    <row r="1760" spans="1:32" s="16" customFormat="1" ht="30" customHeight="1" x14ac:dyDescent="0.2">
      <c r="A1760" s="11"/>
      <c r="C1760" s="407" t="str">
        <f>"Nilai Utang Jangka Pendek Lainnya per "&amp;'[1]2.ISIAN DATA SKPD'!D8&amp;" dan "&amp;'[1]2.ISIAN DATA SKPD'!D12&amp;"  adalah masing-masing sebesar Rp. "&amp;FIXED(R1769)&amp;"0"</f>
        <v>Nilai Utang Jangka Pendek Lainnya per 31 Desember 2018 dan 2017  adalah masing-masing sebesar Rp. 0,000</v>
      </c>
      <c r="D1760" s="407"/>
      <c r="E1760" s="407"/>
      <c r="F1760" s="407"/>
      <c r="G1760" s="407"/>
      <c r="H1760" s="407"/>
      <c r="I1760" s="407"/>
      <c r="J1760" s="407"/>
      <c r="K1760" s="407"/>
      <c r="L1760" s="407"/>
      <c r="M1760" s="407"/>
      <c r="N1760" s="407"/>
      <c r="O1760" s="407"/>
      <c r="P1760" s="407"/>
      <c r="Q1760" s="407"/>
      <c r="R1760" s="407"/>
      <c r="S1760" s="407"/>
      <c r="T1760" s="407"/>
      <c r="U1760" s="407"/>
      <c r="V1760" s="23"/>
    </row>
    <row r="1761" spans="1:32" s="16" customFormat="1" ht="19.5" customHeight="1" x14ac:dyDescent="0.2">
      <c r="A1761" s="11"/>
      <c r="C1761" s="225"/>
      <c r="D1761" s="225"/>
      <c r="E1761" s="225"/>
      <c r="F1761" s="225"/>
      <c r="G1761" s="225"/>
      <c r="H1761" s="225"/>
      <c r="I1761" s="225"/>
      <c r="J1761" s="225"/>
      <c r="K1761" s="225"/>
      <c r="L1761" s="225"/>
      <c r="M1761" s="225"/>
      <c r="N1761" s="225"/>
      <c r="O1761" s="225"/>
      <c r="P1761" s="225"/>
      <c r="Q1761" s="225"/>
      <c r="R1761" s="225"/>
      <c r="S1761" s="225"/>
      <c r="T1761" s="225"/>
      <c r="U1761" s="225"/>
      <c r="V1761" s="23"/>
    </row>
    <row r="1762" spans="1:32" s="16" customFormat="1" ht="22.5" customHeight="1" x14ac:dyDescent="0.2">
      <c r="A1762" s="567" t="s">
        <v>125</v>
      </c>
      <c r="B1762" s="569" t="s">
        <v>443</v>
      </c>
      <c r="C1762" s="570"/>
      <c r="D1762" s="570"/>
      <c r="E1762" s="571"/>
      <c r="F1762" s="572" t="s">
        <v>444</v>
      </c>
      <c r="G1762" s="572"/>
      <c r="H1762" s="572"/>
      <c r="I1762" s="572"/>
      <c r="J1762" s="572"/>
      <c r="K1762" s="572"/>
      <c r="L1762" s="572" t="s">
        <v>445</v>
      </c>
      <c r="M1762" s="572"/>
      <c r="N1762" s="572"/>
      <c r="O1762" s="572"/>
      <c r="P1762" s="572"/>
      <c r="Q1762" s="572"/>
      <c r="R1762" s="562" t="s">
        <v>446</v>
      </c>
      <c r="S1762" s="562"/>
      <c r="T1762" s="562"/>
      <c r="U1762" s="562"/>
      <c r="V1762" s="23"/>
    </row>
    <row r="1763" spans="1:32" s="16" customFormat="1" ht="22.5" customHeight="1" x14ac:dyDescent="0.2">
      <c r="A1763" s="568"/>
      <c r="B1763" s="564">
        <f>B1407</f>
        <v>2017</v>
      </c>
      <c r="C1763" s="565"/>
      <c r="D1763" s="565"/>
      <c r="E1763" s="566"/>
      <c r="F1763" s="562" t="s">
        <v>447</v>
      </c>
      <c r="G1763" s="562"/>
      <c r="H1763" s="562"/>
      <c r="I1763" s="573" t="s">
        <v>448</v>
      </c>
      <c r="J1763" s="573"/>
      <c r="K1763" s="573"/>
      <c r="L1763" s="562" t="s">
        <v>447</v>
      </c>
      <c r="M1763" s="562"/>
      <c r="N1763" s="562"/>
      <c r="O1763" s="563" t="s">
        <v>448</v>
      </c>
      <c r="P1763" s="563"/>
      <c r="Q1763" s="563"/>
      <c r="R1763" s="564">
        <f>R1407</f>
        <v>2018</v>
      </c>
      <c r="S1763" s="565"/>
      <c r="T1763" s="565"/>
      <c r="U1763" s="566"/>
      <c r="V1763" s="487"/>
      <c r="W1763" s="480"/>
      <c r="X1763" s="480"/>
      <c r="Y1763" s="471" t="s">
        <v>449</v>
      </c>
      <c r="Z1763" s="480"/>
      <c r="AA1763" s="480"/>
      <c r="AB1763" s="480"/>
      <c r="AC1763" s="488" t="s">
        <v>438</v>
      </c>
      <c r="AD1763" s="489"/>
      <c r="AE1763" s="489"/>
      <c r="AF1763" s="489"/>
    </row>
    <row r="1764" spans="1:32" s="16" customFormat="1" ht="57.75" customHeight="1" x14ac:dyDescent="0.2">
      <c r="A1764" s="240" t="str">
        <f>'[1]4.NERACA'!C193</f>
        <v>Utang Kelebihan Pembayaran PAD</v>
      </c>
      <c r="B1764" s="557">
        <f>'[1]4.NERACA'!D193</f>
        <v>0</v>
      </c>
      <c r="C1764" s="558"/>
      <c r="D1764" s="558"/>
      <c r="E1764" s="559"/>
      <c r="F1764" s="560">
        <f>'[1]4.NERACA'!E193</f>
        <v>0</v>
      </c>
      <c r="G1764" s="560"/>
      <c r="H1764" s="560"/>
      <c r="I1764" s="561">
        <f>'[1]4.NERACA'!F193</f>
        <v>0</v>
      </c>
      <c r="J1764" s="561"/>
      <c r="K1764" s="561"/>
      <c r="L1764" s="560">
        <f>'[1]4.NERACA'!G193</f>
        <v>0</v>
      </c>
      <c r="M1764" s="560"/>
      <c r="N1764" s="560"/>
      <c r="O1764" s="560">
        <f>'[1]4.NERACA'!H193</f>
        <v>0</v>
      </c>
      <c r="P1764" s="560"/>
      <c r="Q1764" s="560"/>
      <c r="R1764" s="560">
        <f>B1764-F1764+I1764-L1764+O1764</f>
        <v>0</v>
      </c>
      <c r="S1764" s="560"/>
      <c r="T1764" s="560"/>
      <c r="U1764" s="560"/>
      <c r="V1764" s="479"/>
      <c r="W1764" s="480"/>
      <c r="X1764" s="480"/>
      <c r="Y1764" s="471" t="e">
        <f t="shared" ref="Y1764:Y1769" si="37">(R1764-B1764)/B1764*100</f>
        <v>#DIV/0!</v>
      </c>
      <c r="Z1764" s="480"/>
      <c r="AA1764" s="480"/>
      <c r="AB1764" s="480"/>
      <c r="AC1764" s="471">
        <f t="shared" ref="AC1764:AC1769" si="38">R1764-B1764</f>
        <v>0</v>
      </c>
      <c r="AD1764" s="472"/>
      <c r="AE1764" s="472"/>
      <c r="AF1764" s="472"/>
    </row>
    <row r="1765" spans="1:32" s="16" customFormat="1" ht="62.25" customHeight="1" x14ac:dyDescent="0.2">
      <c r="A1765" s="240" t="str">
        <f>'[1]4.NERACA'!C194</f>
        <v>Utang Kelebihan Pembayaran Transfer</v>
      </c>
      <c r="B1765" s="557">
        <f>'[1]4.NERACA'!D194</f>
        <v>0</v>
      </c>
      <c r="C1765" s="558"/>
      <c r="D1765" s="558"/>
      <c r="E1765" s="559"/>
      <c r="F1765" s="560">
        <f>'[1]4.NERACA'!E194</f>
        <v>0</v>
      </c>
      <c r="G1765" s="560"/>
      <c r="H1765" s="560"/>
      <c r="I1765" s="561">
        <f>'[1]4.NERACA'!F194</f>
        <v>0</v>
      </c>
      <c r="J1765" s="561"/>
      <c r="K1765" s="561"/>
      <c r="L1765" s="560">
        <f>'[1]4.NERACA'!G194</f>
        <v>0</v>
      </c>
      <c r="M1765" s="560"/>
      <c r="N1765" s="560"/>
      <c r="O1765" s="560">
        <f>'[1]4.NERACA'!H194</f>
        <v>0</v>
      </c>
      <c r="P1765" s="560"/>
      <c r="Q1765" s="560"/>
      <c r="R1765" s="560">
        <f>B1765-F1765+I1765-L1765+O1765</f>
        <v>0</v>
      </c>
      <c r="S1765" s="560"/>
      <c r="T1765" s="560"/>
      <c r="U1765" s="560"/>
      <c r="V1765" s="479"/>
      <c r="W1765" s="480"/>
      <c r="X1765" s="480"/>
      <c r="Y1765" s="471" t="e">
        <f t="shared" si="37"/>
        <v>#DIV/0!</v>
      </c>
      <c r="Z1765" s="480"/>
      <c r="AA1765" s="480"/>
      <c r="AB1765" s="480"/>
      <c r="AC1765" s="471">
        <f t="shared" si="38"/>
        <v>0</v>
      </c>
      <c r="AD1765" s="472"/>
      <c r="AE1765" s="472"/>
      <c r="AF1765" s="472"/>
    </row>
    <row r="1766" spans="1:32" s="16" customFormat="1" ht="71.25" customHeight="1" x14ac:dyDescent="0.2">
      <c r="A1766" s="240" t="str">
        <f>'[1]4.NERACA'!C195</f>
        <v>Utang Kelebihan Pembayaran Lain-Lain Pendapatan yang Sah</v>
      </c>
      <c r="B1766" s="557">
        <f>'[1]4.NERACA'!D195</f>
        <v>0</v>
      </c>
      <c r="C1766" s="558"/>
      <c r="D1766" s="558"/>
      <c r="E1766" s="559"/>
      <c r="F1766" s="560">
        <f>'[1]4.NERACA'!E195</f>
        <v>0</v>
      </c>
      <c r="G1766" s="560"/>
      <c r="H1766" s="560"/>
      <c r="I1766" s="561">
        <f>'[1]4.NERACA'!F195</f>
        <v>0</v>
      </c>
      <c r="J1766" s="561"/>
      <c r="K1766" s="561"/>
      <c r="L1766" s="560">
        <f>'[1]4.NERACA'!G195</f>
        <v>0</v>
      </c>
      <c r="M1766" s="560"/>
      <c r="N1766" s="560"/>
      <c r="O1766" s="560">
        <f>'[1]4.NERACA'!H195</f>
        <v>0</v>
      </c>
      <c r="P1766" s="560"/>
      <c r="Q1766" s="560"/>
      <c r="R1766" s="560">
        <f>B1766-F1766+I1766-L1766+O1766</f>
        <v>0</v>
      </c>
      <c r="S1766" s="560"/>
      <c r="T1766" s="560"/>
      <c r="U1766" s="560"/>
      <c r="V1766" s="479"/>
      <c r="W1766" s="480"/>
      <c r="X1766" s="480"/>
      <c r="Y1766" s="471" t="e">
        <f t="shared" si="37"/>
        <v>#DIV/0!</v>
      </c>
      <c r="Z1766" s="480"/>
      <c r="AA1766" s="480"/>
      <c r="AB1766" s="480"/>
      <c r="AC1766" s="471">
        <f t="shared" si="38"/>
        <v>0</v>
      </c>
      <c r="AD1766" s="472"/>
      <c r="AE1766" s="472"/>
      <c r="AF1766" s="472"/>
    </row>
    <row r="1767" spans="1:32" s="16" customFormat="1" ht="31.5" customHeight="1" x14ac:dyDescent="0.2">
      <c r="A1767" s="240" t="str">
        <f>'[1]4.NERACA'!C196</f>
        <v>Utang Transfer</v>
      </c>
      <c r="B1767" s="557">
        <f>'[1]4.NERACA'!D196</f>
        <v>0</v>
      </c>
      <c r="C1767" s="558"/>
      <c r="D1767" s="558"/>
      <c r="E1767" s="559"/>
      <c r="F1767" s="560">
        <f>'[1]4.NERACA'!E196</f>
        <v>0</v>
      </c>
      <c r="G1767" s="560"/>
      <c r="H1767" s="560"/>
      <c r="I1767" s="561">
        <f>'[1]4.NERACA'!F196</f>
        <v>0</v>
      </c>
      <c r="J1767" s="561"/>
      <c r="K1767" s="561"/>
      <c r="L1767" s="560">
        <f>'[1]4.NERACA'!G196</f>
        <v>0</v>
      </c>
      <c r="M1767" s="560"/>
      <c r="N1767" s="560"/>
      <c r="O1767" s="560">
        <f>'[1]4.NERACA'!H196</f>
        <v>0</v>
      </c>
      <c r="P1767" s="560"/>
      <c r="Q1767" s="560"/>
      <c r="R1767" s="560">
        <f>B1767-F1767+I1767-L1767+O1767</f>
        <v>0</v>
      </c>
      <c r="S1767" s="560"/>
      <c r="T1767" s="560"/>
      <c r="U1767" s="560"/>
      <c r="V1767" s="479"/>
      <c r="W1767" s="480"/>
      <c r="X1767" s="480"/>
      <c r="Y1767" s="471" t="e">
        <f t="shared" si="37"/>
        <v>#DIV/0!</v>
      </c>
      <c r="Z1767" s="480"/>
      <c r="AA1767" s="480"/>
      <c r="AB1767" s="480"/>
      <c r="AC1767" s="471">
        <f t="shared" si="38"/>
        <v>0</v>
      </c>
      <c r="AD1767" s="472"/>
      <c r="AE1767" s="472"/>
      <c r="AF1767" s="472"/>
    </row>
    <row r="1768" spans="1:32" s="16" customFormat="1" ht="44.25" customHeight="1" x14ac:dyDescent="0.2">
      <c r="A1768" s="240" t="str">
        <f>'[1]4.NERACA'!C197</f>
        <v>Utang Jangka Pendek Lainnya</v>
      </c>
      <c r="B1768" s="557">
        <f>'[1]4.NERACA'!D197</f>
        <v>0</v>
      </c>
      <c r="C1768" s="558"/>
      <c r="D1768" s="558"/>
      <c r="E1768" s="559"/>
      <c r="F1768" s="560">
        <f>'[1]4.NERACA'!E197</f>
        <v>0</v>
      </c>
      <c r="G1768" s="560"/>
      <c r="H1768" s="560"/>
      <c r="I1768" s="561">
        <f>'[1]4.NERACA'!F197</f>
        <v>0</v>
      </c>
      <c r="J1768" s="561"/>
      <c r="K1768" s="561"/>
      <c r="L1768" s="560">
        <f>'[1]4.NERACA'!G197</f>
        <v>0</v>
      </c>
      <c r="M1768" s="560"/>
      <c r="N1768" s="560"/>
      <c r="O1768" s="560">
        <f>'[1]4.NERACA'!H197</f>
        <v>0</v>
      </c>
      <c r="P1768" s="560"/>
      <c r="Q1768" s="560"/>
      <c r="R1768" s="560">
        <f>B1768-F1768+I1768-L1768+O1768</f>
        <v>0</v>
      </c>
      <c r="S1768" s="560"/>
      <c r="T1768" s="560"/>
      <c r="U1768" s="560"/>
      <c r="V1768" s="479"/>
      <c r="W1768" s="480"/>
      <c r="X1768" s="480"/>
      <c r="Y1768" s="471" t="e">
        <f t="shared" si="37"/>
        <v>#DIV/0!</v>
      </c>
      <c r="Z1768" s="480"/>
      <c r="AA1768" s="480"/>
      <c r="AB1768" s="480"/>
      <c r="AC1768" s="471">
        <f t="shared" si="38"/>
        <v>0</v>
      </c>
      <c r="AD1768" s="472"/>
      <c r="AE1768" s="472"/>
      <c r="AF1768" s="472"/>
    </row>
    <row r="1769" spans="1:32" s="16" customFormat="1" ht="22.5" customHeight="1" x14ac:dyDescent="0.2">
      <c r="A1769" s="245" t="s">
        <v>205</v>
      </c>
      <c r="B1769" s="552">
        <f>SUM(B1764:E1768)</f>
        <v>0</v>
      </c>
      <c r="C1769" s="553"/>
      <c r="D1769" s="553"/>
      <c r="E1769" s="554"/>
      <c r="F1769" s="555">
        <f>SUM(F1764:H1768)</f>
        <v>0</v>
      </c>
      <c r="G1769" s="555"/>
      <c r="H1769" s="555"/>
      <c r="I1769" s="556">
        <f>SUM(I1764:K1768)</f>
        <v>0</v>
      </c>
      <c r="J1769" s="556"/>
      <c r="K1769" s="556"/>
      <c r="L1769" s="555">
        <f>SUM(L1764:N1768)</f>
        <v>0</v>
      </c>
      <c r="M1769" s="555"/>
      <c r="N1769" s="555"/>
      <c r="O1769" s="555">
        <f>SUM(O1764:Q1768)</f>
        <v>0</v>
      </c>
      <c r="P1769" s="555"/>
      <c r="Q1769" s="555"/>
      <c r="R1769" s="555">
        <f>SUM(R1764:U1768)</f>
        <v>0</v>
      </c>
      <c r="S1769" s="555"/>
      <c r="T1769" s="555"/>
      <c r="U1769" s="555"/>
      <c r="V1769" s="479"/>
      <c r="W1769" s="480"/>
      <c r="X1769" s="480"/>
      <c r="Y1769" s="471" t="e">
        <f t="shared" si="37"/>
        <v>#DIV/0!</v>
      </c>
      <c r="Z1769" s="480"/>
      <c r="AA1769" s="480"/>
      <c r="AB1769" s="480"/>
      <c r="AC1769" s="471">
        <f t="shared" si="38"/>
        <v>0</v>
      </c>
      <c r="AD1769" s="472"/>
      <c r="AE1769" s="472"/>
      <c r="AF1769" s="472"/>
    </row>
    <row r="1770" spans="1:32" s="16" customFormat="1" ht="22.5" customHeight="1" x14ac:dyDescent="0.2">
      <c r="A1770" s="11"/>
      <c r="B1770" s="77"/>
      <c r="C1770" s="77"/>
      <c r="D1770" s="77"/>
      <c r="E1770" s="77"/>
      <c r="F1770" s="77"/>
      <c r="G1770" s="77"/>
      <c r="H1770" s="77"/>
      <c r="I1770" s="77"/>
      <c r="J1770" s="77"/>
      <c r="K1770" s="77"/>
      <c r="L1770" s="77"/>
      <c r="M1770" s="77"/>
      <c r="N1770" s="77"/>
      <c r="O1770" s="77"/>
      <c r="P1770" s="77"/>
      <c r="Q1770" s="77"/>
      <c r="R1770" s="77"/>
      <c r="S1770" s="77"/>
      <c r="T1770" s="37"/>
      <c r="U1770" s="37"/>
      <c r="V1770" s="23"/>
    </row>
    <row r="1771" spans="1:32" s="16" customFormat="1" ht="22.5" customHeight="1" x14ac:dyDescent="0.2">
      <c r="A1771" s="11"/>
      <c r="B1771" s="146" t="s">
        <v>533</v>
      </c>
      <c r="C1771" s="37"/>
      <c r="D1771" s="37"/>
      <c r="E1771" s="37"/>
      <c r="F1771" s="37"/>
      <c r="G1771" s="37"/>
      <c r="H1771" s="37"/>
      <c r="I1771" s="37"/>
      <c r="J1771" s="37"/>
      <c r="K1771" s="37"/>
      <c r="L1771" s="37"/>
      <c r="M1771" s="37"/>
      <c r="N1771" s="37"/>
      <c r="O1771" s="37"/>
      <c r="P1771" s="37"/>
      <c r="Q1771" s="37"/>
      <c r="R1771" s="37"/>
      <c r="S1771" s="37"/>
      <c r="T1771" s="246"/>
      <c r="U1771" s="246"/>
    </row>
    <row r="1772" spans="1:32" s="16" customFormat="1" ht="11.25" customHeight="1" x14ac:dyDescent="0.2">
      <c r="A1772" s="11"/>
      <c r="B1772" s="37"/>
      <c r="C1772" s="37"/>
      <c r="D1772" s="37"/>
      <c r="E1772" s="37"/>
      <c r="F1772" s="37"/>
      <c r="G1772" s="37"/>
      <c r="H1772" s="37"/>
      <c r="I1772" s="37"/>
      <c r="J1772" s="37"/>
      <c r="K1772" s="37"/>
      <c r="L1772" s="37"/>
      <c r="M1772" s="37"/>
      <c r="N1772" s="37"/>
      <c r="O1772" s="37"/>
      <c r="P1772" s="37"/>
      <c r="Q1772" s="37"/>
      <c r="R1772" s="37"/>
      <c r="S1772" s="37"/>
      <c r="T1772" s="37"/>
      <c r="U1772" s="37"/>
      <c r="V1772" s="23"/>
    </row>
    <row r="1773" spans="1:32" s="16" customFormat="1" ht="24" customHeight="1" x14ac:dyDescent="0.2">
      <c r="A1773" s="21"/>
      <c r="B1773" s="146" t="s">
        <v>534</v>
      </c>
      <c r="C1773" s="411" t="s">
        <v>317</v>
      </c>
      <c r="D1773" s="411"/>
      <c r="E1773" s="411"/>
      <c r="F1773" s="411"/>
      <c r="G1773" s="411"/>
      <c r="H1773" s="411"/>
      <c r="I1773" s="411"/>
      <c r="J1773" s="411"/>
      <c r="K1773" s="411"/>
      <c r="L1773" s="411"/>
      <c r="M1773" s="411"/>
      <c r="N1773" s="411"/>
      <c r="O1773" s="411"/>
      <c r="P1773" s="411"/>
      <c r="Q1773" s="411"/>
      <c r="R1773" s="411"/>
      <c r="S1773" s="411"/>
      <c r="T1773" s="411"/>
      <c r="U1773" s="411"/>
      <c r="V1773" s="23"/>
    </row>
    <row r="1774" spans="1:32" s="16" customFormat="1" ht="64.5" customHeight="1" x14ac:dyDescent="0.2">
      <c r="A1774" s="21"/>
      <c r="C1774" s="407" t="str">
        <f>"Ekuitas per "&amp;'[1]2.ISIAN DATA SKPD'!D8&amp;" dan "&amp;'[1]2.ISIAN DATA SKPD'!D12&amp;" adalah masing-masing sebesar Rp. "&amp;FIXED('[1]4.NERACA'!I208)&amp;" dan Rp. "&amp;FIXED('[1]4.NERACA'!D208)&amp;" mengalami kenaikan sebesar Rp. "&amp;FIXED('[1]4.NERACA'!K208)&amp;" atau sebesar "&amp;FIXED('[1]4.NERACA'!J208)&amp;"% dari tahun "&amp;'[1]2.ISIAN DATA SKPD'!D12&amp;"."</f>
        <v>Ekuitas per 31 Desember 2018 dan 2017 adalah masing-masing sebesar Rp. 10.989.974.586,50 dan Rp. 19.319.046.848,30 mengalami kenaikan sebesar Rp. -8.329.072.261,80 atau sebesar -43,11% dari tahun 2017.</v>
      </c>
      <c r="D1774" s="407"/>
      <c r="E1774" s="407"/>
      <c r="F1774" s="407"/>
      <c r="G1774" s="407"/>
      <c r="H1774" s="407"/>
      <c r="I1774" s="407"/>
      <c r="J1774" s="407"/>
      <c r="K1774" s="407"/>
      <c r="L1774" s="407"/>
      <c r="M1774" s="407"/>
      <c r="N1774" s="407"/>
      <c r="O1774" s="407"/>
      <c r="P1774" s="407"/>
      <c r="Q1774" s="407"/>
      <c r="R1774" s="407"/>
      <c r="S1774" s="407"/>
      <c r="T1774" s="407"/>
      <c r="U1774" s="407"/>
      <c r="V1774" s="23"/>
    </row>
    <row r="1775" spans="1:32" s="16" customFormat="1" ht="50.25" customHeight="1" x14ac:dyDescent="0.2">
      <c r="A1775" s="21"/>
      <c r="C1775" s="407" t="s">
        <v>535</v>
      </c>
      <c r="D1775" s="407"/>
      <c r="E1775" s="407"/>
      <c r="F1775" s="407"/>
      <c r="G1775" s="407"/>
      <c r="H1775" s="407"/>
      <c r="I1775" s="407"/>
      <c r="J1775" s="407"/>
      <c r="K1775" s="407"/>
      <c r="L1775" s="407"/>
      <c r="M1775" s="407"/>
      <c r="N1775" s="407"/>
      <c r="O1775" s="407"/>
      <c r="P1775" s="407"/>
      <c r="Q1775" s="407"/>
      <c r="R1775" s="407"/>
      <c r="S1775" s="407"/>
      <c r="T1775" s="407"/>
      <c r="U1775" s="407"/>
      <c r="V1775" s="23"/>
    </row>
    <row r="1776" spans="1:32" s="16" customFormat="1" ht="20.25" customHeight="1" x14ac:dyDescent="0.2">
      <c r="A1776" s="21"/>
      <c r="C1776" s="77"/>
      <c r="D1776" s="77"/>
      <c r="E1776" s="77"/>
      <c r="F1776" s="77"/>
      <c r="G1776" s="77"/>
      <c r="H1776" s="77"/>
      <c r="I1776" s="77"/>
      <c r="J1776" s="77"/>
      <c r="K1776" s="77"/>
      <c r="L1776" s="77"/>
      <c r="M1776" s="77"/>
      <c r="N1776" s="77"/>
      <c r="O1776" s="77"/>
      <c r="P1776" s="77"/>
      <c r="Q1776" s="77"/>
      <c r="R1776" s="77"/>
      <c r="S1776" s="77"/>
      <c r="T1776" s="77"/>
      <c r="U1776" s="77"/>
      <c r="V1776" s="23"/>
    </row>
    <row r="1777" spans="1:22" s="16" customFormat="1" ht="20.25" customHeight="1" x14ac:dyDescent="0.2">
      <c r="A1777" s="21"/>
      <c r="B1777" s="6" t="s">
        <v>536</v>
      </c>
      <c r="C1777" s="411" t="s">
        <v>537</v>
      </c>
      <c r="D1777" s="411"/>
      <c r="E1777" s="411"/>
      <c r="F1777" s="411"/>
      <c r="G1777" s="411"/>
      <c r="H1777" s="411"/>
      <c r="I1777" s="411"/>
      <c r="J1777" s="411"/>
      <c r="K1777" s="411"/>
      <c r="L1777" s="411"/>
      <c r="M1777" s="411"/>
      <c r="N1777" s="411"/>
      <c r="O1777" s="411"/>
      <c r="P1777" s="411"/>
      <c r="Q1777" s="411"/>
      <c r="R1777" s="411"/>
      <c r="S1777" s="411"/>
      <c r="T1777" s="411"/>
      <c r="U1777" s="411"/>
      <c r="V1777" s="23"/>
    </row>
    <row r="1778" spans="1:22" s="16" customFormat="1" ht="70.5" customHeight="1" x14ac:dyDescent="0.2">
      <c r="A1778" s="11"/>
      <c r="C1778" s="407" t="str">
        <f>"Laporan  Operasional  menyediakan  informasi  mengenai  seluruh kegiatan  operasional keuangan pada "&amp;'[1]2.ISIAN DATA SKPD'!D2&amp;" yang tercermin dalam pendapatan LO, beban dan surplus/defisit operasional."</f>
        <v>Laporan  Operasional  menyediakan  informasi  mengenai  seluruh kegiatan  operasional keuangan pada Dinas Pariwisata Dan Kebudayaan yang tercermin dalam pendapatan LO, beban dan surplus/defisit operasional.</v>
      </c>
      <c r="D1778" s="407"/>
      <c r="E1778" s="407"/>
      <c r="F1778" s="407"/>
      <c r="G1778" s="407"/>
      <c r="H1778" s="407"/>
      <c r="I1778" s="407"/>
      <c r="J1778" s="407"/>
      <c r="K1778" s="407"/>
      <c r="L1778" s="407"/>
      <c r="M1778" s="407"/>
      <c r="N1778" s="407"/>
      <c r="O1778" s="407"/>
      <c r="P1778" s="407"/>
      <c r="Q1778" s="407"/>
      <c r="R1778" s="407"/>
      <c r="S1778" s="407"/>
      <c r="T1778" s="407"/>
      <c r="U1778" s="407"/>
      <c r="V1778" s="23"/>
    </row>
    <row r="1779" spans="1:22" s="16" customFormat="1" ht="22.5" customHeight="1" x14ac:dyDescent="0.2">
      <c r="A1779" s="11"/>
      <c r="B1779" s="108" t="s">
        <v>538</v>
      </c>
      <c r="C1779" s="411" t="s">
        <v>539</v>
      </c>
      <c r="D1779" s="411"/>
      <c r="E1779" s="411"/>
      <c r="F1779" s="411"/>
      <c r="G1779" s="411"/>
      <c r="H1779" s="411"/>
      <c r="I1779" s="411"/>
      <c r="J1779" s="411"/>
      <c r="K1779" s="411"/>
      <c r="L1779" s="411"/>
      <c r="M1779" s="411"/>
      <c r="N1779" s="411"/>
      <c r="O1779" s="411"/>
      <c r="P1779" s="411"/>
      <c r="Q1779" s="411"/>
      <c r="R1779" s="411"/>
      <c r="S1779" s="411"/>
      <c r="T1779" s="411"/>
      <c r="U1779" s="411"/>
      <c r="V1779" s="23"/>
    </row>
    <row r="1780" spans="1:22" s="16" customFormat="1" ht="60.75" customHeight="1" x14ac:dyDescent="0.2">
      <c r="A1780" s="11"/>
      <c r="B1780" s="56"/>
      <c r="C1780" s="407" t="str">
        <f>"Pendapatan-LO adalah hak "&amp;'[1]2.ISIAN DATA SKPD'!D2&amp;" yang diakui sebagai penambahan kekayaan bersih yang tidak perlu dibayar kembali periode Tahun Anggaran "&amp;'[1]2.ISIAN DATA SKPD'!D11&amp;", dengan realisasi dalam TA "&amp;'[1]2.ISIAN DATA SKPD'!D11&amp;" dan "&amp;'[1]2.ISIAN DATA SKPD'!D12&amp;" sebagai berikut :"</f>
        <v>Pendapatan-LO adalah hak Dinas Pariwisata Dan Kebudayaan yang diakui sebagai penambahan kekayaan bersih yang tidak perlu dibayar kembali periode Tahun Anggaran 2018, dengan realisasi dalam TA 2018 dan 2017 sebagai berikut :</v>
      </c>
      <c r="D1780" s="407"/>
      <c r="E1780" s="407"/>
      <c r="F1780" s="407"/>
      <c r="G1780" s="407"/>
      <c r="H1780" s="407"/>
      <c r="I1780" s="407"/>
      <c r="J1780" s="407"/>
      <c r="K1780" s="407"/>
      <c r="L1780" s="407"/>
      <c r="M1780" s="407"/>
      <c r="N1780" s="407"/>
      <c r="O1780" s="407"/>
      <c r="P1780" s="407"/>
      <c r="Q1780" s="407"/>
      <c r="R1780" s="407"/>
      <c r="S1780" s="407"/>
      <c r="T1780" s="407"/>
      <c r="U1780" s="407"/>
      <c r="V1780" s="23"/>
    </row>
    <row r="1781" spans="1:22" s="16" customFormat="1" ht="78.75" customHeight="1" x14ac:dyDescent="0.2">
      <c r="A1781" s="11"/>
      <c r="B1781" s="29"/>
      <c r="C1781" s="407" t="str">
        <f>"Realisasi Pendapatan-LO  Tahun Anggaran "&amp;'[1]2.ISIAN DATA SKPD'!D11&amp;" dan Tahun "&amp;'[1]2.ISIAN DATA SKPD'!D12&amp;", adalah masing-masing sebesar "&amp;FIXED(G1788)&amp;" dan "&amp;FIXED(M1788)&amp;". Bila dibandingkan dengan tahun "&amp;'[1]2.ISIAN DATA SKPD'!D12&amp;" mengalami kenaikan /1630:1630 Penurunan sebesar Rp"&amp;FIXED('[1]5.LO'!H450)&amp;" atau "&amp;FIXED('[1]5.LO'!G450)&amp;" "</f>
        <v xml:space="preserve">Realisasi Pendapatan-LO  Tahun Anggaran 2018 dan Tahun 2017, adalah masing-masing sebesar 4.986.810.600,00 dan 3.742.363.000,00. Bila dibandingkan dengan tahun 2017 mengalami kenaikan /1630:1630 Penurunan sebesar Rp-2.272.329.176,10 atau 90,84 </v>
      </c>
      <c r="D1781" s="407"/>
      <c r="E1781" s="407"/>
      <c r="F1781" s="407"/>
      <c r="G1781" s="407"/>
      <c r="H1781" s="407"/>
      <c r="I1781" s="407"/>
      <c r="J1781" s="407"/>
      <c r="K1781" s="407"/>
      <c r="L1781" s="407"/>
      <c r="M1781" s="407"/>
      <c r="N1781" s="407"/>
      <c r="O1781" s="407"/>
      <c r="P1781" s="407"/>
      <c r="Q1781" s="407"/>
      <c r="R1781" s="407"/>
      <c r="S1781" s="407"/>
      <c r="T1781" s="407"/>
      <c r="U1781" s="407"/>
      <c r="V1781" s="23"/>
    </row>
    <row r="1782" spans="1:22" s="16" customFormat="1" ht="9.75" customHeight="1" x14ac:dyDescent="0.2">
      <c r="A1782" s="11"/>
      <c r="B1782" s="29"/>
      <c r="C1782" s="29"/>
      <c r="D1782" s="29"/>
      <c r="E1782" s="29"/>
      <c r="F1782" s="29"/>
      <c r="G1782" s="29"/>
      <c r="H1782" s="29"/>
      <c r="I1782" s="29"/>
      <c r="J1782" s="29"/>
      <c r="K1782" s="29"/>
      <c r="L1782" s="29"/>
      <c r="M1782" s="29"/>
      <c r="N1782" s="29"/>
      <c r="O1782" s="29"/>
      <c r="P1782" s="29"/>
      <c r="Q1782" s="29"/>
      <c r="R1782" s="29"/>
      <c r="S1782" s="29"/>
      <c r="T1782" s="29"/>
      <c r="U1782" s="29"/>
      <c r="V1782" s="23"/>
    </row>
    <row r="1783" spans="1:22" s="16" customFormat="1" ht="17.25" customHeight="1" x14ac:dyDescent="0.2">
      <c r="A1783" s="33"/>
      <c r="C1783" s="490" t="str">
        <f>"Rincian Pendapatan Tahun "&amp;'[1]2.ISIAN DATA SKPD'!D11&amp;" dan "&amp;'[1]2.ISIAN DATA SKPD'!D12&amp;""</f>
        <v>Rincian Pendapatan Tahun 2018 dan 2017</v>
      </c>
      <c r="D1783" s="490"/>
      <c r="E1783" s="490"/>
      <c r="F1783" s="490"/>
      <c r="G1783" s="490"/>
      <c r="H1783" s="490"/>
      <c r="I1783" s="490"/>
      <c r="J1783" s="490"/>
      <c r="K1783" s="490"/>
      <c r="L1783" s="490"/>
      <c r="M1783" s="490"/>
      <c r="N1783" s="490"/>
      <c r="O1783" s="490"/>
      <c r="P1783" s="490"/>
      <c r="Q1783" s="490"/>
      <c r="R1783" s="490"/>
      <c r="S1783" s="490"/>
      <c r="T1783" s="490"/>
      <c r="U1783" s="490"/>
      <c r="V1783" s="23"/>
    </row>
    <row r="1784" spans="1:22" s="16" customFormat="1" ht="24.75" customHeight="1" x14ac:dyDescent="0.2">
      <c r="A1784" s="551" t="s">
        <v>125</v>
      </c>
      <c r="B1784" s="551"/>
      <c r="C1784" s="551"/>
      <c r="D1784" s="551"/>
      <c r="E1784" s="551"/>
      <c r="F1784" s="551"/>
      <c r="G1784" s="551" t="str">
        <f>"TA "&amp;'[1]2.ISIAN DATA SKPD'!D11&amp;""</f>
        <v>TA 2018</v>
      </c>
      <c r="H1784" s="551"/>
      <c r="I1784" s="551"/>
      <c r="J1784" s="551"/>
      <c r="K1784" s="551"/>
      <c r="L1784" s="551"/>
      <c r="M1784" s="551" t="str">
        <f>"TA "&amp;'[1]2.ISIAN DATA SKPD'!D12&amp;""</f>
        <v>TA 2017</v>
      </c>
      <c r="N1784" s="551"/>
      <c r="O1784" s="551"/>
      <c r="P1784" s="551"/>
      <c r="Q1784" s="551"/>
      <c r="R1784" s="551"/>
      <c r="S1784" s="551" t="s">
        <v>40</v>
      </c>
      <c r="T1784" s="551"/>
      <c r="U1784" s="551"/>
      <c r="V1784" s="23"/>
    </row>
    <row r="1785" spans="1:22" s="16" customFormat="1" ht="36" customHeight="1" x14ac:dyDescent="0.2">
      <c r="A1785" s="541" t="s">
        <v>540</v>
      </c>
      <c r="B1785" s="541"/>
      <c r="C1785" s="541"/>
      <c r="D1785" s="541"/>
      <c r="E1785" s="541"/>
      <c r="F1785" s="541"/>
      <c r="G1785" s="545">
        <f>'[1]5.LO'!E6</f>
        <v>4986810600</v>
      </c>
      <c r="H1785" s="546"/>
      <c r="I1785" s="546"/>
      <c r="J1785" s="546"/>
      <c r="K1785" s="546"/>
      <c r="L1785" s="546"/>
      <c r="M1785" s="545">
        <f>'[1]5.LO'!F6</f>
        <v>3742363000</v>
      </c>
      <c r="N1785" s="546"/>
      <c r="O1785" s="546"/>
      <c r="P1785" s="546"/>
      <c r="Q1785" s="546"/>
      <c r="R1785" s="546"/>
      <c r="S1785" s="549">
        <f>(G1785-M1785)/M1785*100</f>
        <v>33.252990156219482</v>
      </c>
      <c r="T1785" s="550"/>
      <c r="U1785" s="550"/>
      <c r="V1785" s="23"/>
    </row>
    <row r="1786" spans="1:22" s="16" customFormat="1" ht="21" customHeight="1" x14ac:dyDescent="0.2">
      <c r="A1786" s="541" t="s">
        <v>541</v>
      </c>
      <c r="B1786" s="541"/>
      <c r="C1786" s="541"/>
      <c r="D1786" s="541"/>
      <c r="E1786" s="541"/>
      <c r="F1786" s="541"/>
      <c r="G1786" s="545">
        <f>'[1]5.LO'!E84</f>
        <v>0</v>
      </c>
      <c r="H1786" s="546"/>
      <c r="I1786" s="546"/>
      <c r="J1786" s="546"/>
      <c r="K1786" s="546"/>
      <c r="L1786" s="546"/>
      <c r="M1786" s="545">
        <f>'[1]5.LO'!F84</f>
        <v>0</v>
      </c>
      <c r="N1786" s="546"/>
      <c r="O1786" s="546"/>
      <c r="P1786" s="546"/>
      <c r="Q1786" s="546"/>
      <c r="R1786" s="546"/>
      <c r="S1786" s="547" t="e">
        <f>(G1786-M1786)/M1786*100</f>
        <v>#DIV/0!</v>
      </c>
      <c r="T1786" s="548"/>
      <c r="U1786" s="548"/>
      <c r="V1786" s="23"/>
    </row>
    <row r="1787" spans="1:22" s="16" customFormat="1" ht="30.75" customHeight="1" x14ac:dyDescent="0.2">
      <c r="A1787" s="541" t="s">
        <v>542</v>
      </c>
      <c r="B1787" s="541"/>
      <c r="C1787" s="541"/>
      <c r="D1787" s="541"/>
      <c r="E1787" s="541"/>
      <c r="F1787" s="541"/>
      <c r="G1787" s="545">
        <f>'[1]5.LO'!E133</f>
        <v>0</v>
      </c>
      <c r="H1787" s="546"/>
      <c r="I1787" s="546"/>
      <c r="J1787" s="546"/>
      <c r="K1787" s="546"/>
      <c r="L1787" s="546"/>
      <c r="M1787" s="545">
        <f>'[1]5.LO'!F133</f>
        <v>121500000</v>
      </c>
      <c r="N1787" s="546"/>
      <c r="O1787" s="546"/>
      <c r="P1787" s="546"/>
      <c r="Q1787" s="546"/>
      <c r="R1787" s="546"/>
      <c r="S1787" s="547">
        <f>(G1787-M1787)/M1787*100</f>
        <v>-100</v>
      </c>
      <c r="T1787" s="548"/>
      <c r="U1787" s="548"/>
      <c r="V1787" s="23"/>
    </row>
    <row r="1788" spans="1:22" s="16" customFormat="1" ht="22.5" customHeight="1" x14ac:dyDescent="0.2">
      <c r="A1788" s="541" t="s">
        <v>205</v>
      </c>
      <c r="B1788" s="541"/>
      <c r="C1788" s="541"/>
      <c r="D1788" s="541"/>
      <c r="E1788" s="541"/>
      <c r="F1788" s="541"/>
      <c r="G1788" s="545">
        <f>G1785</f>
        <v>4986810600</v>
      </c>
      <c r="H1788" s="546"/>
      <c r="I1788" s="546"/>
      <c r="J1788" s="546"/>
      <c r="K1788" s="546"/>
      <c r="L1788" s="546"/>
      <c r="M1788" s="545">
        <f>M1785</f>
        <v>3742363000</v>
      </c>
      <c r="N1788" s="546"/>
      <c r="O1788" s="546"/>
      <c r="P1788" s="546"/>
      <c r="Q1788" s="546"/>
      <c r="R1788" s="546"/>
      <c r="S1788" s="549">
        <f>(G1788-M1788)/M1788*100</f>
        <v>33.252990156219482</v>
      </c>
      <c r="T1788" s="550"/>
      <c r="U1788" s="550"/>
      <c r="V1788" s="23"/>
    </row>
    <row r="1789" spans="1:22" s="16" customFormat="1" ht="22.5" customHeight="1" x14ac:dyDescent="0.2">
      <c r="A1789" s="21"/>
      <c r="C1789" s="63"/>
      <c r="D1789" s="63"/>
      <c r="E1789" s="63"/>
      <c r="F1789" s="63"/>
      <c r="G1789" s="63"/>
      <c r="H1789" s="63"/>
      <c r="I1789" s="63"/>
      <c r="J1789" s="63"/>
      <c r="K1789" s="133"/>
      <c r="L1789" s="133"/>
      <c r="M1789" s="133"/>
      <c r="N1789" s="133"/>
      <c r="O1789" s="133"/>
      <c r="P1789" s="133"/>
      <c r="Q1789" s="133"/>
      <c r="R1789" s="247"/>
      <c r="S1789" s="247"/>
      <c r="T1789" s="64"/>
      <c r="U1789" s="64"/>
      <c r="V1789" s="23"/>
    </row>
    <row r="1790" spans="1:22" s="16" customFormat="1" ht="39.75" customHeight="1" x14ac:dyDescent="0.2">
      <c r="A1790" s="11"/>
      <c r="B1790" s="77"/>
      <c r="C1790" s="407" t="str">
        <f>"Realisasi masing-masing pendapatan – LO "&amp;'[1]2.ISIAN DATA SKPD'!D2&amp;" Kabupaten Wonosobo dapat dijelaskan sebagai berikut : "</f>
        <v xml:space="preserve">Realisasi masing-masing pendapatan – LO Dinas Pariwisata Dan Kebudayaan Kabupaten Wonosobo dapat dijelaskan sebagai berikut : </v>
      </c>
      <c r="D1790" s="407"/>
      <c r="E1790" s="407"/>
      <c r="F1790" s="407"/>
      <c r="G1790" s="407"/>
      <c r="H1790" s="407"/>
      <c r="I1790" s="407"/>
      <c r="J1790" s="407"/>
      <c r="K1790" s="407"/>
      <c r="L1790" s="407"/>
      <c r="M1790" s="407"/>
      <c r="N1790" s="407"/>
      <c r="O1790" s="407"/>
      <c r="P1790" s="407"/>
      <c r="Q1790" s="407"/>
      <c r="R1790" s="407"/>
      <c r="S1790" s="407"/>
      <c r="T1790" s="407"/>
      <c r="U1790" s="407"/>
      <c r="V1790" s="23"/>
    </row>
    <row r="1791" spans="1:22" s="16" customFormat="1" ht="21.75" customHeight="1" x14ac:dyDescent="0.2">
      <c r="A1791" s="11"/>
      <c r="B1791" s="29"/>
      <c r="C1791" s="15" t="s">
        <v>160</v>
      </c>
      <c r="D1791" s="511" t="s">
        <v>543</v>
      </c>
      <c r="E1791" s="511"/>
      <c r="F1791" s="511"/>
      <c r="G1791" s="511"/>
      <c r="H1791" s="511"/>
      <c r="I1791" s="511"/>
      <c r="J1791" s="511"/>
      <c r="K1791" s="511"/>
      <c r="L1791" s="511"/>
      <c r="M1791" s="511"/>
      <c r="N1791" s="511"/>
      <c r="O1791" s="511"/>
      <c r="P1791" s="511"/>
      <c r="Q1791" s="511"/>
      <c r="R1791" s="511"/>
      <c r="S1791" s="511"/>
      <c r="T1791" s="511"/>
      <c r="U1791" s="511"/>
      <c r="V1791" s="23"/>
    </row>
    <row r="1792" spans="1:22" s="16" customFormat="1" ht="56.25" customHeight="1" x14ac:dyDescent="0.2">
      <c r="A1792" s="11"/>
      <c r="B1792" s="29"/>
      <c r="D1792" s="407" t="str">
        <f>"Akun ini menggambarkan realisasi Pendapatan Asli Daerah (PAD) untuk periode Tahun Anggaran "&amp;'[1]2.ISIAN DATA SKPD'!D11&amp;"  dan "&amp;'[1]2.ISIAN DATA SKPD'!D12&amp;" dengan rincian jumlah PAD sebagai berikut :"</f>
        <v>Akun ini menggambarkan realisasi Pendapatan Asli Daerah (PAD) untuk periode Tahun Anggaran 2018  dan 2017 dengan rincian jumlah PAD sebagai berikut :</v>
      </c>
      <c r="E1792" s="407"/>
      <c r="F1792" s="407"/>
      <c r="G1792" s="407"/>
      <c r="H1792" s="407"/>
      <c r="I1792" s="407"/>
      <c r="J1792" s="407"/>
      <c r="K1792" s="407"/>
      <c r="L1792" s="407"/>
      <c r="M1792" s="407"/>
      <c r="N1792" s="407"/>
      <c r="O1792" s="407"/>
      <c r="P1792" s="407"/>
      <c r="Q1792" s="407"/>
      <c r="R1792" s="407"/>
      <c r="S1792" s="407"/>
      <c r="T1792" s="407"/>
      <c r="U1792" s="407"/>
      <c r="V1792" s="23"/>
    </row>
    <row r="1793" spans="1:22" s="16" customFormat="1" ht="21.75" customHeight="1" x14ac:dyDescent="0.2">
      <c r="A1793" s="11"/>
      <c r="B1793" s="29"/>
      <c r="D1793" s="225"/>
      <c r="E1793" s="225"/>
      <c r="F1793" s="225"/>
      <c r="G1793" s="225"/>
      <c r="H1793" s="225"/>
      <c r="I1793" s="225"/>
      <c r="J1793" s="225"/>
      <c r="K1793" s="225"/>
      <c r="L1793" s="225"/>
      <c r="M1793" s="225"/>
      <c r="N1793" s="225"/>
      <c r="O1793" s="225"/>
      <c r="P1793" s="225"/>
      <c r="Q1793" s="225"/>
      <c r="R1793" s="225"/>
      <c r="S1793" s="225"/>
      <c r="T1793" s="225"/>
      <c r="U1793" s="225"/>
      <c r="V1793" s="23"/>
    </row>
    <row r="1794" spans="1:22" s="16" customFormat="1" ht="20.25" customHeight="1" x14ac:dyDescent="0.2">
      <c r="A1794" s="544" t="s">
        <v>125</v>
      </c>
      <c r="B1794" s="544"/>
      <c r="C1794" s="544"/>
      <c r="D1794" s="544"/>
      <c r="E1794" s="544"/>
      <c r="F1794" s="544"/>
      <c r="G1794" s="544"/>
      <c r="H1794" s="544"/>
      <c r="I1794" s="544"/>
      <c r="J1794" s="544" t="str">
        <f>"TA "&amp;'[1]2.ISIAN DATA SKPD'!D11&amp;""</f>
        <v>TA 2018</v>
      </c>
      <c r="K1794" s="544"/>
      <c r="L1794" s="544"/>
      <c r="M1794" s="544"/>
      <c r="N1794" s="544"/>
      <c r="O1794" s="544"/>
      <c r="P1794" s="544" t="str">
        <f>"TA "&amp;'[1]2.ISIAN DATA SKPD'!D12&amp;""</f>
        <v>TA 2017</v>
      </c>
      <c r="Q1794" s="544"/>
      <c r="R1794" s="544"/>
      <c r="S1794" s="544"/>
      <c r="T1794" s="544"/>
      <c r="U1794" s="544"/>
      <c r="V1794" s="23"/>
    </row>
    <row r="1795" spans="1:22" s="16" customFormat="1" ht="22.5" customHeight="1" x14ac:dyDescent="0.2">
      <c r="A1795" s="541" t="s">
        <v>544</v>
      </c>
      <c r="B1795" s="541"/>
      <c r="C1795" s="541"/>
      <c r="D1795" s="541"/>
      <c r="E1795" s="541"/>
      <c r="F1795" s="541"/>
      <c r="G1795" s="541"/>
      <c r="H1795" s="541"/>
      <c r="I1795" s="541"/>
      <c r="J1795" s="542">
        <f>'[1]5.LO'!E7</f>
        <v>0</v>
      </c>
      <c r="K1795" s="542"/>
      <c r="L1795" s="542"/>
      <c r="M1795" s="542"/>
      <c r="N1795" s="542"/>
      <c r="O1795" s="542"/>
      <c r="P1795" s="542">
        <f>'[1]5.LO'!F7</f>
        <v>0</v>
      </c>
      <c r="Q1795" s="542"/>
      <c r="R1795" s="542"/>
      <c r="S1795" s="542"/>
      <c r="T1795" s="542"/>
      <c r="U1795" s="542"/>
      <c r="V1795" s="23"/>
    </row>
    <row r="1796" spans="1:22" s="16" customFormat="1" ht="22.5" customHeight="1" x14ac:dyDescent="0.2">
      <c r="A1796" s="541" t="s">
        <v>545</v>
      </c>
      <c r="B1796" s="541"/>
      <c r="C1796" s="541"/>
      <c r="D1796" s="541"/>
      <c r="E1796" s="541"/>
      <c r="F1796" s="541"/>
      <c r="G1796" s="541"/>
      <c r="H1796" s="541"/>
      <c r="I1796" s="541"/>
      <c r="J1796" s="542">
        <f>'[1]5.LO'!E18</f>
        <v>4977280800</v>
      </c>
      <c r="K1796" s="542"/>
      <c r="L1796" s="542"/>
      <c r="M1796" s="542"/>
      <c r="N1796" s="542"/>
      <c r="O1796" s="542"/>
      <c r="P1796" s="542">
        <f>'[1]5.LO'!F18</f>
        <v>3742363000</v>
      </c>
      <c r="Q1796" s="542"/>
      <c r="R1796" s="542"/>
      <c r="S1796" s="542"/>
      <c r="T1796" s="542"/>
      <c r="U1796" s="542"/>
      <c r="V1796" s="23"/>
    </row>
    <row r="1797" spans="1:22" s="16" customFormat="1" ht="38.25" customHeight="1" x14ac:dyDescent="0.2">
      <c r="A1797" s="541" t="s">
        <v>546</v>
      </c>
      <c r="B1797" s="541"/>
      <c r="C1797" s="541"/>
      <c r="D1797" s="541"/>
      <c r="E1797" s="541"/>
      <c r="F1797" s="541"/>
      <c r="G1797" s="541"/>
      <c r="H1797" s="541"/>
      <c r="I1797" s="541"/>
      <c r="J1797" s="542">
        <f>'[1]5.LO'!E39</f>
        <v>0</v>
      </c>
      <c r="K1797" s="542"/>
      <c r="L1797" s="542"/>
      <c r="M1797" s="542"/>
      <c r="N1797" s="542"/>
      <c r="O1797" s="542"/>
      <c r="P1797" s="542">
        <f>'[1]5.LO'!F39</f>
        <v>0</v>
      </c>
      <c r="Q1797" s="542"/>
      <c r="R1797" s="542"/>
      <c r="S1797" s="542"/>
      <c r="T1797" s="542"/>
      <c r="U1797" s="542"/>
      <c r="V1797" s="23"/>
    </row>
    <row r="1798" spans="1:22" s="16" customFormat="1" ht="21" customHeight="1" x14ac:dyDescent="0.2">
      <c r="A1798" s="541" t="s">
        <v>547</v>
      </c>
      <c r="B1798" s="541"/>
      <c r="C1798" s="541"/>
      <c r="D1798" s="541"/>
      <c r="E1798" s="541"/>
      <c r="F1798" s="541"/>
      <c r="G1798" s="541"/>
      <c r="H1798" s="541"/>
      <c r="I1798" s="541"/>
      <c r="J1798" s="542">
        <f>'[1]5.LO'!E50</f>
        <v>9529800</v>
      </c>
      <c r="K1798" s="542"/>
      <c r="L1798" s="542"/>
      <c r="M1798" s="542"/>
      <c r="N1798" s="542"/>
      <c r="O1798" s="542"/>
      <c r="P1798" s="542">
        <f>'[1]5.LO'!F50</f>
        <v>0</v>
      </c>
      <c r="Q1798" s="542"/>
      <c r="R1798" s="542"/>
      <c r="S1798" s="542"/>
      <c r="T1798" s="542"/>
      <c r="U1798" s="542"/>
      <c r="V1798" s="23"/>
    </row>
    <row r="1799" spans="1:22" s="16" customFormat="1" ht="22.5" customHeight="1" x14ac:dyDescent="0.2">
      <c r="A1799" s="541" t="s">
        <v>205</v>
      </c>
      <c r="B1799" s="541"/>
      <c r="C1799" s="541"/>
      <c r="D1799" s="541"/>
      <c r="E1799" s="541"/>
      <c r="F1799" s="541"/>
      <c r="G1799" s="541"/>
      <c r="H1799" s="541"/>
      <c r="I1799" s="541"/>
      <c r="J1799" s="542">
        <f>SUM(J1795:O1798)</f>
        <v>4986810600</v>
      </c>
      <c r="K1799" s="542"/>
      <c r="L1799" s="542"/>
      <c r="M1799" s="542"/>
      <c r="N1799" s="542"/>
      <c r="O1799" s="542"/>
      <c r="P1799" s="542">
        <f>SUM(P1795:U1798)</f>
        <v>3742363000</v>
      </c>
      <c r="Q1799" s="542"/>
      <c r="R1799" s="542"/>
      <c r="S1799" s="542"/>
      <c r="T1799" s="542"/>
      <c r="U1799" s="542"/>
      <c r="V1799" s="23"/>
    </row>
    <row r="1800" spans="1:22" s="16" customFormat="1" ht="21.75" customHeight="1" x14ac:dyDescent="0.2">
      <c r="A1800" s="11"/>
      <c r="B1800" s="29"/>
      <c r="V1800" s="23"/>
    </row>
    <row r="1801" spans="1:22" s="16" customFormat="1" ht="35.25" customHeight="1" x14ac:dyDescent="0.2">
      <c r="A1801" s="11"/>
      <c r="B1801" s="29"/>
      <c r="C1801" s="29"/>
      <c r="D1801" s="543" t="str">
        <f>"Adapun rincian Pendapatan Asli Daerah per "&amp;'[1]2.ISIAN DATA SKPD'!D8&amp;" sebagaimana berikut :"</f>
        <v>Adapun rincian Pendapatan Asli Daerah per 31 Desember 2018 sebagaimana berikut :</v>
      </c>
      <c r="E1801" s="543"/>
      <c r="F1801" s="543"/>
      <c r="G1801" s="543"/>
      <c r="H1801" s="543"/>
      <c r="I1801" s="543"/>
      <c r="J1801" s="543"/>
      <c r="K1801" s="543"/>
      <c r="L1801" s="543"/>
      <c r="M1801" s="543"/>
      <c r="N1801" s="543"/>
      <c r="O1801" s="543"/>
      <c r="P1801" s="543"/>
      <c r="Q1801" s="543"/>
      <c r="R1801" s="543"/>
      <c r="S1801" s="543"/>
      <c r="T1801" s="543"/>
      <c r="U1801" s="543"/>
      <c r="V1801" s="23"/>
    </row>
    <row r="1802" spans="1:22" s="16" customFormat="1" ht="18" customHeight="1" x14ac:dyDescent="0.2">
      <c r="A1802" s="11"/>
      <c r="B1802" s="29"/>
      <c r="C1802" s="29"/>
      <c r="D1802" s="248" t="s">
        <v>209</v>
      </c>
      <c r="E1802" s="500" t="s">
        <v>34</v>
      </c>
      <c r="F1802" s="500"/>
      <c r="G1802" s="500"/>
      <c r="H1802" s="500"/>
      <c r="I1802" s="500"/>
      <c r="J1802" s="500"/>
      <c r="K1802" s="500"/>
      <c r="L1802" s="500"/>
      <c r="M1802" s="500"/>
      <c r="N1802" s="500"/>
      <c r="O1802" s="501"/>
      <c r="P1802" s="520" t="s">
        <v>205</v>
      </c>
      <c r="Q1802" s="521"/>
      <c r="R1802" s="521"/>
      <c r="S1802" s="521"/>
      <c r="T1802" s="521"/>
      <c r="U1802" s="522"/>
      <c r="V1802" s="23"/>
    </row>
    <row r="1803" spans="1:22" s="16" customFormat="1" ht="18" customHeight="1" x14ac:dyDescent="0.2">
      <c r="A1803" s="11"/>
      <c r="B1803" s="29"/>
      <c r="C1803" s="29"/>
      <c r="D1803" s="249">
        <v>1</v>
      </c>
      <c r="E1803" s="250" t="s">
        <v>35</v>
      </c>
      <c r="F1803" s="250"/>
      <c r="G1803" s="251"/>
      <c r="H1803" s="252"/>
      <c r="I1803" s="252"/>
      <c r="J1803" s="252"/>
      <c r="K1803" s="252"/>
      <c r="L1803" s="252"/>
      <c r="M1803" s="251"/>
      <c r="N1803" s="252"/>
      <c r="O1803" s="253"/>
      <c r="P1803" s="449">
        <f>'[1]5.LO'!E7</f>
        <v>0</v>
      </c>
      <c r="Q1803" s="450"/>
      <c r="R1803" s="450"/>
      <c r="S1803" s="450"/>
      <c r="T1803" s="450"/>
      <c r="U1803" s="451"/>
      <c r="V1803" s="23"/>
    </row>
    <row r="1804" spans="1:22" s="16" customFormat="1" ht="18" customHeight="1" x14ac:dyDescent="0.2">
      <c r="A1804" s="11"/>
      <c r="B1804" s="29"/>
      <c r="C1804" s="29"/>
      <c r="D1804" s="249"/>
      <c r="E1804" s="254" t="s">
        <v>210</v>
      </c>
      <c r="F1804" s="255"/>
      <c r="G1804" s="255"/>
      <c r="H1804" s="256"/>
      <c r="I1804" s="256"/>
      <c r="J1804" s="256"/>
      <c r="K1804" s="256"/>
      <c r="L1804" s="256"/>
      <c r="M1804" s="255"/>
      <c r="N1804" s="256"/>
      <c r="O1804" s="257"/>
      <c r="P1804" s="415">
        <f>'[1]5.LO'!E8</f>
        <v>0</v>
      </c>
      <c r="Q1804" s="416"/>
      <c r="R1804" s="416"/>
      <c r="S1804" s="416"/>
      <c r="T1804" s="416"/>
      <c r="U1804" s="417"/>
      <c r="V1804" s="23"/>
    </row>
    <row r="1805" spans="1:22" s="16" customFormat="1" ht="18" customHeight="1" x14ac:dyDescent="0.2">
      <c r="A1805" s="11"/>
      <c r="B1805" s="29"/>
      <c r="C1805" s="29"/>
      <c r="D1805" s="249"/>
      <c r="E1805" s="254" t="s">
        <v>211</v>
      </c>
      <c r="F1805" s="255"/>
      <c r="G1805" s="255"/>
      <c r="H1805" s="256"/>
      <c r="I1805" s="256"/>
      <c r="J1805" s="256"/>
      <c r="K1805" s="256"/>
      <c r="L1805" s="256"/>
      <c r="M1805" s="255"/>
      <c r="N1805" s="256"/>
      <c r="O1805" s="257"/>
      <c r="P1805" s="415">
        <f>'[1]5.LO'!E9</f>
        <v>0</v>
      </c>
      <c r="Q1805" s="416"/>
      <c r="R1805" s="416"/>
      <c r="S1805" s="416"/>
      <c r="T1805" s="416"/>
      <c r="U1805" s="417"/>
      <c r="V1805" s="23"/>
    </row>
    <row r="1806" spans="1:22" s="16" customFormat="1" ht="18" customHeight="1" x14ac:dyDescent="0.2">
      <c r="A1806" s="11"/>
      <c r="B1806" s="29"/>
      <c r="C1806" s="29"/>
      <c r="D1806" s="249"/>
      <c r="E1806" s="254" t="s">
        <v>548</v>
      </c>
      <c r="F1806" s="255"/>
      <c r="G1806" s="255"/>
      <c r="H1806" s="256"/>
      <c r="I1806" s="256"/>
      <c r="J1806" s="256"/>
      <c r="K1806" s="256"/>
      <c r="L1806" s="256"/>
      <c r="M1806" s="255"/>
      <c r="N1806" s="256"/>
      <c r="O1806" s="257"/>
      <c r="P1806" s="415">
        <f>'[1]5.LO'!E10</f>
        <v>0</v>
      </c>
      <c r="Q1806" s="416"/>
      <c r="R1806" s="416"/>
      <c r="S1806" s="416"/>
      <c r="T1806" s="416"/>
      <c r="U1806" s="417"/>
      <c r="V1806" s="23"/>
    </row>
    <row r="1807" spans="1:22" s="16" customFormat="1" ht="18" customHeight="1" x14ac:dyDescent="0.2">
      <c r="A1807" s="11"/>
      <c r="B1807" s="29"/>
      <c r="C1807" s="29"/>
      <c r="D1807" s="249"/>
      <c r="E1807" s="254" t="s">
        <v>213</v>
      </c>
      <c r="F1807" s="255"/>
      <c r="G1807" s="255"/>
      <c r="H1807" s="256"/>
      <c r="I1807" s="256"/>
      <c r="J1807" s="256"/>
      <c r="K1807" s="256"/>
      <c r="L1807" s="256"/>
      <c r="M1807" s="255"/>
      <c r="N1807" s="256"/>
      <c r="O1807" s="257"/>
      <c r="P1807" s="415">
        <f>'[1]5.LO'!E11</f>
        <v>0</v>
      </c>
      <c r="Q1807" s="416"/>
      <c r="R1807" s="416"/>
      <c r="S1807" s="416"/>
      <c r="T1807" s="416"/>
      <c r="U1807" s="417"/>
      <c r="V1807" s="23"/>
    </row>
    <row r="1808" spans="1:22" s="16" customFormat="1" ht="18" customHeight="1" x14ac:dyDescent="0.2">
      <c r="A1808" s="11"/>
      <c r="B1808" s="29"/>
      <c r="C1808" s="29"/>
      <c r="D1808" s="249"/>
      <c r="E1808" s="254" t="s">
        <v>214</v>
      </c>
      <c r="F1808" s="255"/>
      <c r="G1808" s="255"/>
      <c r="H1808" s="256"/>
      <c r="I1808" s="256"/>
      <c r="J1808" s="256"/>
      <c r="K1808" s="256"/>
      <c r="L1808" s="256"/>
      <c r="M1808" s="255"/>
      <c r="N1808" s="256"/>
      <c r="O1808" s="257"/>
      <c r="P1808" s="415">
        <f>'[1]5.LO'!E12</f>
        <v>0</v>
      </c>
      <c r="Q1808" s="416"/>
      <c r="R1808" s="416"/>
      <c r="S1808" s="416"/>
      <c r="T1808" s="416"/>
      <c r="U1808" s="417"/>
      <c r="V1808" s="23"/>
    </row>
    <row r="1809" spans="1:22" s="16" customFormat="1" ht="18" customHeight="1" x14ac:dyDescent="0.2">
      <c r="A1809" s="11"/>
      <c r="B1809" s="29"/>
      <c r="C1809" s="29"/>
      <c r="D1809" s="249"/>
      <c r="E1809" s="254" t="s">
        <v>549</v>
      </c>
      <c r="F1809" s="255"/>
      <c r="G1809" s="255"/>
      <c r="H1809" s="256"/>
      <c r="I1809" s="256"/>
      <c r="J1809" s="256"/>
      <c r="K1809" s="256"/>
      <c r="L1809" s="256"/>
      <c r="M1809" s="255"/>
      <c r="N1809" s="256"/>
      <c r="O1809" s="257"/>
      <c r="P1809" s="415">
        <f>'[1]5.LO'!E13</f>
        <v>0</v>
      </c>
      <c r="Q1809" s="416"/>
      <c r="R1809" s="416"/>
      <c r="S1809" s="416"/>
      <c r="T1809" s="416"/>
      <c r="U1809" s="417"/>
      <c r="V1809" s="23"/>
    </row>
    <row r="1810" spans="1:22" s="16" customFormat="1" ht="18" customHeight="1" x14ac:dyDescent="0.2">
      <c r="A1810" s="11"/>
      <c r="B1810" s="29"/>
      <c r="C1810" s="29"/>
      <c r="D1810" s="249"/>
      <c r="E1810" s="254" t="s">
        <v>215</v>
      </c>
      <c r="F1810" s="255"/>
      <c r="G1810" s="255"/>
      <c r="H1810" s="256"/>
      <c r="I1810" s="256"/>
      <c r="J1810" s="256"/>
      <c r="K1810" s="256"/>
      <c r="L1810" s="256"/>
      <c r="M1810" s="255"/>
      <c r="N1810" s="256"/>
      <c r="O1810" s="257"/>
      <c r="P1810" s="415">
        <f>'[1]5.LO'!E14</f>
        <v>0</v>
      </c>
      <c r="Q1810" s="416"/>
      <c r="R1810" s="416"/>
      <c r="S1810" s="416"/>
      <c r="T1810" s="416"/>
      <c r="U1810" s="417"/>
      <c r="V1810" s="23"/>
    </row>
    <row r="1811" spans="1:22" s="16" customFormat="1" ht="18" customHeight="1" x14ac:dyDescent="0.2">
      <c r="A1811" s="11"/>
      <c r="B1811" s="29"/>
      <c r="C1811" s="29"/>
      <c r="D1811" s="249"/>
      <c r="E1811" s="254" t="s">
        <v>550</v>
      </c>
      <c r="F1811" s="255"/>
      <c r="G1811" s="255"/>
      <c r="H1811" s="256"/>
      <c r="I1811" s="256"/>
      <c r="J1811" s="256"/>
      <c r="K1811" s="256"/>
      <c r="L1811" s="256"/>
      <c r="M1811" s="255"/>
      <c r="N1811" s="256"/>
      <c r="O1811" s="257"/>
      <c r="P1811" s="415">
        <f>'[1]5.LO'!E15</f>
        <v>0</v>
      </c>
      <c r="Q1811" s="416"/>
      <c r="R1811" s="416"/>
      <c r="S1811" s="416"/>
      <c r="T1811" s="416"/>
      <c r="U1811" s="417"/>
      <c r="V1811" s="23"/>
    </row>
    <row r="1812" spans="1:22" s="16" customFormat="1" ht="18" customHeight="1" x14ac:dyDescent="0.2">
      <c r="A1812" s="11"/>
      <c r="B1812" s="29"/>
      <c r="C1812" s="29"/>
      <c r="D1812" s="249"/>
      <c r="E1812" s="254" t="s">
        <v>551</v>
      </c>
      <c r="F1812" s="255"/>
      <c r="G1812" s="255"/>
      <c r="H1812" s="256"/>
      <c r="I1812" s="256"/>
      <c r="J1812" s="256"/>
      <c r="K1812" s="256"/>
      <c r="L1812" s="256"/>
      <c r="M1812" s="255"/>
      <c r="N1812" s="256"/>
      <c r="O1812" s="257"/>
      <c r="P1812" s="415">
        <f>'[1]5.LO'!E16</f>
        <v>0</v>
      </c>
      <c r="Q1812" s="416"/>
      <c r="R1812" s="416"/>
      <c r="S1812" s="416"/>
      <c r="T1812" s="416"/>
      <c r="U1812" s="417"/>
      <c r="V1812" s="23"/>
    </row>
    <row r="1813" spans="1:22" s="16" customFormat="1" ht="27.75" customHeight="1" x14ac:dyDescent="0.2">
      <c r="A1813" s="11"/>
      <c r="B1813" s="29"/>
      <c r="C1813" s="29"/>
      <c r="D1813" s="249"/>
      <c r="E1813" s="469" t="s">
        <v>552</v>
      </c>
      <c r="F1813" s="469"/>
      <c r="G1813" s="469"/>
      <c r="H1813" s="469"/>
      <c r="I1813" s="469"/>
      <c r="J1813" s="469"/>
      <c r="K1813" s="469"/>
      <c r="L1813" s="469"/>
      <c r="M1813" s="469"/>
      <c r="N1813" s="469"/>
      <c r="O1813" s="470"/>
      <c r="P1813" s="415">
        <f>'[1]5.LO'!E17</f>
        <v>0</v>
      </c>
      <c r="Q1813" s="416"/>
      <c r="R1813" s="416"/>
      <c r="S1813" s="416"/>
      <c r="T1813" s="416"/>
      <c r="U1813" s="417"/>
      <c r="V1813" s="23"/>
    </row>
    <row r="1814" spans="1:22" s="16" customFormat="1" ht="18" customHeight="1" x14ac:dyDescent="0.2">
      <c r="A1814" s="11"/>
      <c r="B1814" s="29"/>
      <c r="C1814" s="29"/>
      <c r="D1814" s="249">
        <v>2</v>
      </c>
      <c r="E1814" s="250" t="s">
        <v>36</v>
      </c>
      <c r="F1814" s="250"/>
      <c r="G1814" s="251"/>
      <c r="H1814" s="252"/>
      <c r="I1814" s="252"/>
      <c r="J1814" s="252"/>
      <c r="K1814" s="252"/>
      <c r="L1814" s="252"/>
      <c r="M1814" s="251"/>
      <c r="N1814" s="252"/>
      <c r="O1814" s="253"/>
      <c r="P1814" s="449">
        <f>'[1]5.LO'!E18</f>
        <v>4977280800</v>
      </c>
      <c r="Q1814" s="450"/>
      <c r="R1814" s="450"/>
      <c r="S1814" s="450"/>
      <c r="T1814" s="450"/>
      <c r="U1814" s="451"/>
      <c r="V1814" s="23"/>
    </row>
    <row r="1815" spans="1:22" s="16" customFormat="1" ht="18" customHeight="1" x14ac:dyDescent="0.2">
      <c r="A1815" s="11"/>
      <c r="B1815" s="29"/>
      <c r="C1815" s="29"/>
      <c r="D1815" s="249"/>
      <c r="E1815" s="250" t="s">
        <v>553</v>
      </c>
      <c r="F1815" s="258"/>
      <c r="G1815" s="258"/>
      <c r="H1815" s="259"/>
      <c r="I1815" s="259"/>
      <c r="J1815" s="259"/>
      <c r="K1815" s="259"/>
      <c r="L1815" s="259"/>
      <c r="M1815" s="258"/>
      <c r="N1815" s="259"/>
      <c r="O1815" s="260"/>
      <c r="P1815" s="449">
        <f>'[1]5.LO'!E19</f>
        <v>0</v>
      </c>
      <c r="Q1815" s="450"/>
      <c r="R1815" s="450"/>
      <c r="S1815" s="450"/>
      <c r="T1815" s="450"/>
      <c r="U1815" s="451"/>
      <c r="V1815" s="23"/>
    </row>
    <row r="1816" spans="1:22" s="16" customFormat="1" ht="18" customHeight="1" x14ac:dyDescent="0.2">
      <c r="A1816" s="11"/>
      <c r="B1816" s="29"/>
      <c r="C1816" s="29"/>
      <c r="D1816" s="261"/>
      <c r="E1816" s="262"/>
      <c r="F1816" s="254" t="s">
        <v>221</v>
      </c>
      <c r="G1816" s="258"/>
      <c r="H1816" s="259"/>
      <c r="I1816" s="259"/>
      <c r="J1816" s="259"/>
      <c r="K1816" s="259"/>
      <c r="L1816" s="259"/>
      <c r="M1816" s="258"/>
      <c r="N1816" s="259"/>
      <c r="O1816" s="260"/>
      <c r="P1816" s="415">
        <f>'[1]5.LO'!E20</f>
        <v>0</v>
      </c>
      <c r="Q1816" s="416"/>
      <c r="R1816" s="416"/>
      <c r="S1816" s="416"/>
      <c r="T1816" s="416"/>
      <c r="U1816" s="417"/>
      <c r="V1816" s="23"/>
    </row>
    <row r="1817" spans="1:22" s="16" customFormat="1" ht="18" customHeight="1" x14ac:dyDescent="0.2">
      <c r="A1817" s="11"/>
      <c r="B1817" s="29"/>
      <c r="C1817" s="29"/>
      <c r="D1817" s="261"/>
      <c r="E1817" s="262"/>
      <c r="F1817" s="254" t="s">
        <v>554</v>
      </c>
      <c r="G1817" s="258"/>
      <c r="H1817" s="259"/>
      <c r="I1817" s="259"/>
      <c r="J1817" s="259"/>
      <c r="K1817" s="259"/>
      <c r="L1817" s="259"/>
      <c r="M1817" s="258"/>
      <c r="N1817" s="259"/>
      <c r="O1817" s="260"/>
      <c r="P1817" s="415">
        <f>'[1]5.LO'!E21</f>
        <v>0</v>
      </c>
      <c r="Q1817" s="416"/>
      <c r="R1817" s="416"/>
      <c r="S1817" s="416"/>
      <c r="T1817" s="416"/>
      <c r="U1817" s="417"/>
      <c r="V1817" s="23"/>
    </row>
    <row r="1818" spans="1:22" s="16" customFormat="1" ht="18" customHeight="1" x14ac:dyDescent="0.2">
      <c r="A1818" s="11"/>
      <c r="B1818" s="29"/>
      <c r="C1818" s="29"/>
      <c r="D1818" s="261"/>
      <c r="E1818" s="262"/>
      <c r="F1818" s="254" t="s">
        <v>555</v>
      </c>
      <c r="G1818" s="258"/>
      <c r="H1818" s="259"/>
      <c r="I1818" s="259"/>
      <c r="J1818" s="259"/>
      <c r="K1818" s="259"/>
      <c r="L1818" s="259"/>
      <c r="M1818" s="258"/>
      <c r="N1818" s="259"/>
      <c r="O1818" s="260"/>
      <c r="P1818" s="415">
        <f>'[1]5.LO'!E22</f>
        <v>0</v>
      </c>
      <c r="Q1818" s="416"/>
      <c r="R1818" s="416"/>
      <c r="S1818" s="416"/>
      <c r="T1818" s="416"/>
      <c r="U1818" s="417"/>
      <c r="V1818" s="23"/>
    </row>
    <row r="1819" spans="1:22" s="16" customFormat="1" ht="18" customHeight="1" x14ac:dyDescent="0.2">
      <c r="A1819" s="11"/>
      <c r="B1819" s="29"/>
      <c r="C1819" s="29"/>
      <c r="D1819" s="261"/>
      <c r="E1819" s="262"/>
      <c r="F1819" s="254" t="s">
        <v>222</v>
      </c>
      <c r="G1819" s="258"/>
      <c r="H1819" s="259"/>
      <c r="I1819" s="259"/>
      <c r="J1819" s="259"/>
      <c r="K1819" s="259"/>
      <c r="L1819" s="259"/>
      <c r="M1819" s="258"/>
      <c r="N1819" s="259"/>
      <c r="O1819" s="260"/>
      <c r="P1819" s="415">
        <f>'[1]5.LO'!E23</f>
        <v>0</v>
      </c>
      <c r="Q1819" s="416"/>
      <c r="R1819" s="416"/>
      <c r="S1819" s="416"/>
      <c r="T1819" s="416"/>
      <c r="U1819" s="417"/>
      <c r="V1819" s="23"/>
    </row>
    <row r="1820" spans="1:22" s="16" customFormat="1" ht="18" customHeight="1" x14ac:dyDescent="0.2">
      <c r="A1820" s="11"/>
      <c r="B1820" s="29"/>
      <c r="C1820" s="29"/>
      <c r="D1820" s="261"/>
      <c r="E1820" s="262"/>
      <c r="F1820" s="254" t="s">
        <v>556</v>
      </c>
      <c r="G1820" s="258"/>
      <c r="H1820" s="259"/>
      <c r="I1820" s="259"/>
      <c r="J1820" s="259"/>
      <c r="K1820" s="259"/>
      <c r="L1820" s="259"/>
      <c r="M1820" s="258"/>
      <c r="N1820" s="259"/>
      <c r="O1820" s="260"/>
      <c r="P1820" s="415">
        <f>'[1]5.LO'!E24</f>
        <v>0</v>
      </c>
      <c r="Q1820" s="416"/>
      <c r="R1820" s="416"/>
      <c r="S1820" s="416"/>
      <c r="T1820" s="416"/>
      <c r="U1820" s="417"/>
      <c r="V1820" s="23"/>
    </row>
    <row r="1821" spans="1:22" s="16" customFormat="1" ht="18" customHeight="1" x14ac:dyDescent="0.2">
      <c r="A1821" s="11"/>
      <c r="B1821" s="29"/>
      <c r="C1821" s="29"/>
      <c r="D1821" s="261"/>
      <c r="E1821" s="262"/>
      <c r="F1821" s="254" t="s">
        <v>557</v>
      </c>
      <c r="G1821" s="258"/>
      <c r="H1821" s="259"/>
      <c r="I1821" s="259"/>
      <c r="J1821" s="259"/>
      <c r="K1821" s="259"/>
      <c r="L1821" s="259"/>
      <c r="M1821" s="258"/>
      <c r="N1821" s="259"/>
      <c r="O1821" s="260"/>
      <c r="P1821" s="415">
        <f>'[1]5.LO'!E25</f>
        <v>0</v>
      </c>
      <c r="Q1821" s="416"/>
      <c r="R1821" s="416"/>
      <c r="S1821" s="416"/>
      <c r="T1821" s="416"/>
      <c r="U1821" s="417"/>
      <c r="V1821" s="23"/>
    </row>
    <row r="1822" spans="1:22" s="16" customFormat="1" ht="18" customHeight="1" x14ac:dyDescent="0.2">
      <c r="A1822" s="11"/>
      <c r="B1822" s="29"/>
      <c r="C1822" s="29"/>
      <c r="D1822" s="261"/>
      <c r="E1822" s="262"/>
      <c r="F1822" s="254" t="s">
        <v>558</v>
      </c>
      <c r="G1822" s="258"/>
      <c r="H1822" s="259"/>
      <c r="I1822" s="259"/>
      <c r="J1822" s="259"/>
      <c r="K1822" s="259"/>
      <c r="L1822" s="259"/>
      <c r="M1822" s="258"/>
      <c r="N1822" s="259"/>
      <c r="O1822" s="260"/>
      <c r="P1822" s="415">
        <f>'[1]5.LO'!E26</f>
        <v>0</v>
      </c>
      <c r="Q1822" s="416"/>
      <c r="R1822" s="416"/>
      <c r="S1822" s="416"/>
      <c r="T1822" s="416"/>
      <c r="U1822" s="417"/>
      <c r="V1822" s="23"/>
    </row>
    <row r="1823" spans="1:22" s="16" customFormat="1" ht="18" customHeight="1" x14ac:dyDescent="0.2">
      <c r="A1823" s="11"/>
      <c r="B1823" s="29"/>
      <c r="C1823" s="29"/>
      <c r="D1823" s="263"/>
      <c r="E1823" s="250" t="s">
        <v>559</v>
      </c>
      <c r="F1823" s="258"/>
      <c r="G1823" s="258"/>
      <c r="H1823" s="259"/>
      <c r="I1823" s="259"/>
      <c r="J1823" s="259"/>
      <c r="K1823" s="259"/>
      <c r="L1823" s="259"/>
      <c r="M1823" s="258"/>
      <c r="N1823" s="259"/>
      <c r="O1823" s="260"/>
      <c r="P1823" s="449">
        <f>'[1]5.LO'!E27</f>
        <v>4977280800</v>
      </c>
      <c r="Q1823" s="450"/>
      <c r="R1823" s="450"/>
      <c r="S1823" s="450"/>
      <c r="T1823" s="450"/>
      <c r="U1823" s="451"/>
      <c r="V1823" s="23"/>
    </row>
    <row r="1824" spans="1:22" s="16" customFormat="1" ht="18" customHeight="1" x14ac:dyDescent="0.2">
      <c r="A1824" s="11"/>
      <c r="B1824" s="29"/>
      <c r="C1824" s="29"/>
      <c r="D1824" s="261"/>
      <c r="E1824" s="262"/>
      <c r="F1824" s="254" t="s">
        <v>223</v>
      </c>
      <c r="G1824" s="258"/>
      <c r="H1824" s="259"/>
      <c r="I1824" s="259"/>
      <c r="J1824" s="259"/>
      <c r="K1824" s="259"/>
      <c r="L1824" s="259"/>
      <c r="M1824" s="258"/>
      <c r="N1824" s="259"/>
      <c r="O1824" s="260"/>
      <c r="P1824" s="415">
        <f>'[1]5.LO'!E28</f>
        <v>0</v>
      </c>
      <c r="Q1824" s="416"/>
      <c r="R1824" s="416"/>
      <c r="S1824" s="416"/>
      <c r="T1824" s="416"/>
      <c r="U1824" s="417"/>
      <c r="V1824" s="23"/>
    </row>
    <row r="1825" spans="1:22" s="16" customFormat="1" ht="18" customHeight="1" x14ac:dyDescent="0.2">
      <c r="A1825" s="11"/>
      <c r="B1825" s="29"/>
      <c r="C1825" s="29"/>
      <c r="D1825" s="261"/>
      <c r="E1825" s="262"/>
      <c r="F1825" s="254" t="s">
        <v>224</v>
      </c>
      <c r="G1825" s="258"/>
      <c r="H1825" s="259"/>
      <c r="I1825" s="259"/>
      <c r="J1825" s="259"/>
      <c r="K1825" s="259"/>
      <c r="L1825" s="259"/>
      <c r="M1825" s="258"/>
      <c r="N1825" s="259"/>
      <c r="O1825" s="260"/>
      <c r="P1825" s="415">
        <f>'[1]5.LO'!E29</f>
        <v>0</v>
      </c>
      <c r="Q1825" s="416"/>
      <c r="R1825" s="416"/>
      <c r="S1825" s="416"/>
      <c r="T1825" s="416"/>
      <c r="U1825" s="417"/>
      <c r="V1825" s="23"/>
    </row>
    <row r="1826" spans="1:22" s="16" customFormat="1" ht="18" customHeight="1" x14ac:dyDescent="0.2">
      <c r="A1826" s="11"/>
      <c r="B1826" s="29"/>
      <c r="C1826" s="29"/>
      <c r="D1826" s="261"/>
      <c r="E1826" s="262"/>
      <c r="F1826" s="254" t="s">
        <v>225</v>
      </c>
      <c r="G1826" s="258"/>
      <c r="H1826" s="259"/>
      <c r="I1826" s="259"/>
      <c r="J1826" s="259"/>
      <c r="K1826" s="259"/>
      <c r="L1826" s="259"/>
      <c r="M1826" s="258"/>
      <c r="N1826" s="259"/>
      <c r="O1826" s="260"/>
      <c r="P1826" s="415">
        <f>'[1]5.LO'!E30</f>
        <v>0</v>
      </c>
      <c r="Q1826" s="416"/>
      <c r="R1826" s="416"/>
      <c r="S1826" s="416"/>
      <c r="T1826" s="416"/>
      <c r="U1826" s="417"/>
      <c r="V1826" s="23"/>
    </row>
    <row r="1827" spans="1:22" s="16" customFormat="1" ht="18" customHeight="1" x14ac:dyDescent="0.2">
      <c r="A1827" s="11"/>
      <c r="B1827" s="29"/>
      <c r="C1827" s="29"/>
      <c r="D1827" s="261"/>
      <c r="E1827" s="262"/>
      <c r="F1827" s="254" t="s">
        <v>560</v>
      </c>
      <c r="G1827" s="258"/>
      <c r="H1827" s="259"/>
      <c r="I1827" s="259"/>
      <c r="J1827" s="259"/>
      <c r="K1827" s="259"/>
      <c r="L1827" s="259"/>
      <c r="M1827" s="258"/>
      <c r="N1827" s="259"/>
      <c r="O1827" s="260"/>
      <c r="P1827" s="415">
        <f>'[1]5.LO'!E31</f>
        <v>0</v>
      </c>
      <c r="Q1827" s="416"/>
      <c r="R1827" s="416"/>
      <c r="S1827" s="416"/>
      <c r="T1827" s="416"/>
      <c r="U1827" s="417"/>
      <c r="V1827" s="23"/>
    </row>
    <row r="1828" spans="1:22" s="16" customFormat="1" ht="18" customHeight="1" x14ac:dyDescent="0.2">
      <c r="A1828" s="11"/>
      <c r="B1828" s="29"/>
      <c r="C1828" s="29"/>
      <c r="D1828" s="261"/>
      <c r="E1828" s="262"/>
      <c r="F1828" s="254" t="s">
        <v>226</v>
      </c>
      <c r="G1828" s="258"/>
      <c r="H1828" s="259"/>
      <c r="I1828" s="259"/>
      <c r="J1828" s="259"/>
      <c r="K1828" s="259"/>
      <c r="L1828" s="259"/>
      <c r="M1828" s="258"/>
      <c r="N1828" s="259"/>
      <c r="O1828" s="260"/>
      <c r="P1828" s="415">
        <f>'[1]5.LO'!E32</f>
        <v>4977280800</v>
      </c>
      <c r="Q1828" s="416"/>
      <c r="R1828" s="416"/>
      <c r="S1828" s="416"/>
      <c r="T1828" s="416"/>
      <c r="U1828" s="417"/>
      <c r="V1828" s="23"/>
    </row>
    <row r="1829" spans="1:22" s="16" customFormat="1" ht="18" customHeight="1" x14ac:dyDescent="0.2">
      <c r="A1829" s="11"/>
      <c r="B1829" s="29"/>
      <c r="C1829" s="29"/>
      <c r="D1829" s="261"/>
      <c r="E1829" s="262"/>
      <c r="F1829" s="254" t="s">
        <v>561</v>
      </c>
      <c r="G1829" s="258"/>
      <c r="H1829" s="259"/>
      <c r="I1829" s="259"/>
      <c r="J1829" s="259"/>
      <c r="K1829" s="259"/>
      <c r="L1829" s="259"/>
      <c r="M1829" s="258"/>
      <c r="N1829" s="259"/>
      <c r="O1829" s="260"/>
      <c r="P1829" s="415">
        <f>'[1]5.LO'!E33</f>
        <v>0</v>
      </c>
      <c r="Q1829" s="416"/>
      <c r="R1829" s="416"/>
      <c r="S1829" s="416"/>
      <c r="T1829" s="416"/>
      <c r="U1829" s="417"/>
      <c r="V1829" s="23"/>
    </row>
    <row r="1830" spans="1:22" s="16" customFormat="1" ht="18" customHeight="1" x14ac:dyDescent="0.2">
      <c r="A1830" s="11"/>
      <c r="B1830" s="29"/>
      <c r="C1830" s="29"/>
      <c r="D1830" s="261"/>
      <c r="E1830" s="262"/>
      <c r="F1830" s="254" t="s">
        <v>562</v>
      </c>
      <c r="G1830" s="258"/>
      <c r="H1830" s="259"/>
      <c r="I1830" s="259"/>
      <c r="J1830" s="259"/>
      <c r="K1830" s="259"/>
      <c r="L1830" s="259"/>
      <c r="M1830" s="258"/>
      <c r="N1830" s="259"/>
      <c r="O1830" s="260"/>
      <c r="P1830" s="415">
        <f>'[1]5.LO'!E34</f>
        <v>0</v>
      </c>
      <c r="Q1830" s="416"/>
      <c r="R1830" s="416"/>
      <c r="S1830" s="416"/>
      <c r="T1830" s="416"/>
      <c r="U1830" s="417"/>
      <c r="V1830" s="23"/>
    </row>
    <row r="1831" spans="1:22" s="16" customFormat="1" ht="18" customHeight="1" x14ac:dyDescent="0.2">
      <c r="A1831" s="11"/>
      <c r="B1831" s="29"/>
      <c r="C1831" s="29"/>
      <c r="D1831" s="249"/>
      <c r="E1831" s="250" t="s">
        <v>563</v>
      </c>
      <c r="F1831" s="258"/>
      <c r="G1831" s="258"/>
      <c r="H1831" s="259"/>
      <c r="I1831" s="259"/>
      <c r="J1831" s="259"/>
      <c r="K1831" s="259"/>
      <c r="L1831" s="259"/>
      <c r="M1831" s="258"/>
      <c r="N1831" s="259"/>
      <c r="O1831" s="260"/>
      <c r="P1831" s="449">
        <f>'[1]5.LO'!E35</f>
        <v>0</v>
      </c>
      <c r="Q1831" s="450"/>
      <c r="R1831" s="450"/>
      <c r="S1831" s="450"/>
      <c r="T1831" s="450"/>
      <c r="U1831" s="451"/>
      <c r="V1831" s="23"/>
    </row>
    <row r="1832" spans="1:22" s="16" customFormat="1" ht="18" customHeight="1" x14ac:dyDescent="0.2">
      <c r="A1832" s="11"/>
      <c r="B1832" s="29"/>
      <c r="C1832" s="29"/>
      <c r="D1832" s="261"/>
      <c r="E1832" s="262"/>
      <c r="F1832" s="254" t="s">
        <v>564</v>
      </c>
      <c r="G1832" s="258"/>
      <c r="H1832" s="259"/>
      <c r="I1832" s="259"/>
      <c r="J1832" s="259"/>
      <c r="K1832" s="259"/>
      <c r="L1832" s="259"/>
      <c r="M1832" s="258"/>
      <c r="N1832" s="259"/>
      <c r="O1832" s="260"/>
      <c r="P1832" s="415">
        <f>'[1]5.LO'!E36</f>
        <v>0</v>
      </c>
      <c r="Q1832" s="416"/>
      <c r="R1832" s="416"/>
      <c r="S1832" s="416"/>
      <c r="T1832" s="416"/>
      <c r="U1832" s="417"/>
      <c r="V1832" s="23"/>
    </row>
    <row r="1833" spans="1:22" s="16" customFormat="1" ht="18" customHeight="1" x14ac:dyDescent="0.2">
      <c r="A1833" s="11"/>
      <c r="B1833" s="29"/>
      <c r="C1833" s="29"/>
      <c r="D1833" s="261"/>
      <c r="E1833" s="262"/>
      <c r="F1833" s="254" t="s">
        <v>565</v>
      </c>
      <c r="G1833" s="258"/>
      <c r="H1833" s="259"/>
      <c r="I1833" s="259"/>
      <c r="J1833" s="259"/>
      <c r="K1833" s="259"/>
      <c r="L1833" s="259"/>
      <c r="M1833" s="258"/>
      <c r="N1833" s="259"/>
      <c r="O1833" s="260"/>
      <c r="P1833" s="415">
        <f>'[1]5.LO'!E37</f>
        <v>0</v>
      </c>
      <c r="Q1833" s="416"/>
      <c r="R1833" s="416"/>
      <c r="S1833" s="416"/>
      <c r="T1833" s="416"/>
      <c r="U1833" s="417"/>
      <c r="V1833" s="23"/>
    </row>
    <row r="1834" spans="1:22" s="16" customFormat="1" ht="18" customHeight="1" x14ac:dyDescent="0.2">
      <c r="A1834" s="11"/>
      <c r="B1834" s="29"/>
      <c r="C1834" s="29"/>
      <c r="D1834" s="261"/>
      <c r="E1834" s="262"/>
      <c r="F1834" s="254" t="s">
        <v>566</v>
      </c>
      <c r="G1834" s="258"/>
      <c r="H1834" s="259"/>
      <c r="I1834" s="259"/>
      <c r="J1834" s="259"/>
      <c r="K1834" s="259"/>
      <c r="L1834" s="259"/>
      <c r="M1834" s="258"/>
      <c r="N1834" s="259"/>
      <c r="O1834" s="260"/>
      <c r="P1834" s="415">
        <f>'[1]5.LO'!E38</f>
        <v>0</v>
      </c>
      <c r="Q1834" s="416"/>
      <c r="R1834" s="416"/>
      <c r="S1834" s="416"/>
      <c r="T1834" s="416"/>
      <c r="U1834" s="417"/>
      <c r="V1834" s="23"/>
    </row>
    <row r="1835" spans="1:22" s="16" customFormat="1" ht="24" customHeight="1" x14ac:dyDescent="0.2">
      <c r="A1835" s="11"/>
      <c r="B1835" s="29"/>
      <c r="C1835" s="29"/>
      <c r="D1835" s="249">
        <v>3</v>
      </c>
      <c r="E1835" s="539" t="s">
        <v>567</v>
      </c>
      <c r="F1835" s="539"/>
      <c r="G1835" s="539"/>
      <c r="H1835" s="539"/>
      <c r="I1835" s="539"/>
      <c r="J1835" s="539"/>
      <c r="K1835" s="539"/>
      <c r="L1835" s="539"/>
      <c r="M1835" s="539"/>
      <c r="N1835" s="539"/>
      <c r="O1835" s="540"/>
      <c r="P1835" s="449">
        <f>'[1]5.LO'!E39</f>
        <v>0</v>
      </c>
      <c r="Q1835" s="450"/>
      <c r="R1835" s="450"/>
      <c r="S1835" s="450"/>
      <c r="T1835" s="450"/>
      <c r="U1835" s="451"/>
      <c r="V1835" s="23"/>
    </row>
    <row r="1836" spans="1:22" s="16" customFormat="1" ht="27.75" customHeight="1" x14ac:dyDescent="0.2">
      <c r="A1836" s="11"/>
      <c r="B1836" s="29"/>
      <c r="C1836" s="29"/>
      <c r="D1836" s="249"/>
      <c r="E1836" s="539" t="s">
        <v>568</v>
      </c>
      <c r="F1836" s="539"/>
      <c r="G1836" s="539"/>
      <c r="H1836" s="539"/>
      <c r="I1836" s="539"/>
      <c r="J1836" s="539"/>
      <c r="K1836" s="539"/>
      <c r="L1836" s="539"/>
      <c r="M1836" s="539"/>
      <c r="N1836" s="539"/>
      <c r="O1836" s="540"/>
      <c r="P1836" s="449">
        <f>'[1]5.LO'!E40</f>
        <v>0</v>
      </c>
      <c r="Q1836" s="450"/>
      <c r="R1836" s="450"/>
      <c r="S1836" s="450"/>
      <c r="T1836" s="450"/>
      <c r="U1836" s="451"/>
      <c r="V1836" s="23"/>
    </row>
    <row r="1837" spans="1:22" s="16" customFormat="1" ht="18" customHeight="1" x14ac:dyDescent="0.2">
      <c r="A1837" s="11"/>
      <c r="B1837" s="29"/>
      <c r="C1837" s="29"/>
      <c r="D1837" s="261"/>
      <c r="E1837" s="262"/>
      <c r="F1837" s="254" t="s">
        <v>569</v>
      </c>
      <c r="G1837" s="258"/>
      <c r="H1837" s="259"/>
      <c r="I1837" s="259"/>
      <c r="J1837" s="259"/>
      <c r="K1837" s="259"/>
      <c r="L1837" s="259"/>
      <c r="M1837" s="258"/>
      <c r="N1837" s="259"/>
      <c r="O1837" s="260"/>
      <c r="P1837" s="415">
        <f>'[1]5.LO'!E41</f>
        <v>0</v>
      </c>
      <c r="Q1837" s="416"/>
      <c r="R1837" s="416"/>
      <c r="S1837" s="416"/>
      <c r="T1837" s="416"/>
      <c r="U1837" s="417"/>
      <c r="V1837" s="23"/>
    </row>
    <row r="1838" spans="1:22" s="16" customFormat="1" ht="18" customHeight="1" x14ac:dyDescent="0.2">
      <c r="A1838" s="11"/>
      <c r="B1838" s="29"/>
      <c r="C1838" s="29"/>
      <c r="D1838" s="261"/>
      <c r="E1838" s="262"/>
      <c r="F1838" s="254" t="s">
        <v>570</v>
      </c>
      <c r="G1838" s="258"/>
      <c r="H1838" s="259"/>
      <c r="I1838" s="259"/>
      <c r="J1838" s="259"/>
      <c r="K1838" s="259"/>
      <c r="L1838" s="259"/>
      <c r="M1838" s="258"/>
      <c r="N1838" s="259"/>
      <c r="O1838" s="260"/>
      <c r="P1838" s="415">
        <f>'[1]5.LO'!E42</f>
        <v>0</v>
      </c>
      <c r="Q1838" s="416"/>
      <c r="R1838" s="416"/>
      <c r="S1838" s="416"/>
      <c r="T1838" s="416"/>
      <c r="U1838" s="417"/>
      <c r="V1838" s="23"/>
    </row>
    <row r="1839" spans="1:22" s="16" customFormat="1" ht="18" customHeight="1" x14ac:dyDescent="0.2">
      <c r="A1839" s="11"/>
      <c r="B1839" s="29"/>
      <c r="C1839" s="29"/>
      <c r="D1839" s="261"/>
      <c r="E1839" s="262"/>
      <c r="F1839" s="254" t="s">
        <v>571</v>
      </c>
      <c r="G1839" s="258"/>
      <c r="H1839" s="259"/>
      <c r="I1839" s="259"/>
      <c r="J1839" s="259"/>
      <c r="K1839" s="259"/>
      <c r="L1839" s="259"/>
      <c r="M1839" s="258"/>
      <c r="N1839" s="259"/>
      <c r="O1839" s="260"/>
      <c r="P1839" s="415">
        <f>'[1]5.LO'!E43</f>
        <v>0</v>
      </c>
      <c r="Q1839" s="416"/>
      <c r="R1839" s="416"/>
      <c r="S1839" s="416"/>
      <c r="T1839" s="416"/>
      <c r="U1839" s="417"/>
      <c r="V1839" s="23"/>
    </row>
    <row r="1840" spans="1:22" s="16" customFormat="1" ht="18" customHeight="1" x14ac:dyDescent="0.2">
      <c r="A1840" s="11"/>
      <c r="B1840" s="29"/>
      <c r="C1840" s="29"/>
      <c r="D1840" s="261"/>
      <c r="E1840" s="262"/>
      <c r="F1840" s="254" t="s">
        <v>572</v>
      </c>
      <c r="G1840" s="258"/>
      <c r="H1840" s="259"/>
      <c r="I1840" s="259"/>
      <c r="J1840" s="259"/>
      <c r="K1840" s="259"/>
      <c r="L1840" s="259"/>
      <c r="M1840" s="258"/>
      <c r="N1840" s="259"/>
      <c r="O1840" s="260"/>
      <c r="P1840" s="415">
        <f>'[1]5.LO'!E44</f>
        <v>0</v>
      </c>
      <c r="Q1840" s="416"/>
      <c r="R1840" s="416"/>
      <c r="S1840" s="416"/>
      <c r="T1840" s="416"/>
      <c r="U1840" s="417"/>
      <c r="V1840" s="23"/>
    </row>
    <row r="1841" spans="1:22" s="16" customFormat="1" ht="18" customHeight="1" x14ac:dyDescent="0.2">
      <c r="A1841" s="11"/>
      <c r="B1841" s="29"/>
      <c r="C1841" s="29"/>
      <c r="D1841" s="261"/>
      <c r="E1841" s="262"/>
      <c r="F1841" s="254" t="s">
        <v>573</v>
      </c>
      <c r="G1841" s="258"/>
      <c r="H1841" s="259"/>
      <c r="I1841" s="259"/>
      <c r="J1841" s="259"/>
      <c r="K1841" s="259"/>
      <c r="L1841" s="259"/>
      <c r="M1841" s="258"/>
      <c r="N1841" s="259"/>
      <c r="O1841" s="260"/>
      <c r="P1841" s="415">
        <f>'[1]5.LO'!E45</f>
        <v>0</v>
      </c>
      <c r="Q1841" s="416"/>
      <c r="R1841" s="416"/>
      <c r="S1841" s="416"/>
      <c r="T1841" s="416"/>
      <c r="U1841" s="417"/>
      <c r="V1841" s="23"/>
    </row>
    <row r="1842" spans="1:22" s="16" customFormat="1" ht="18" customHeight="1" x14ac:dyDescent="0.2">
      <c r="A1842" s="11"/>
      <c r="B1842" s="29"/>
      <c r="C1842" s="29"/>
      <c r="D1842" s="261"/>
      <c r="E1842" s="262"/>
      <c r="F1842" s="254" t="s">
        <v>574</v>
      </c>
      <c r="G1842" s="258"/>
      <c r="H1842" s="259"/>
      <c r="I1842" s="259"/>
      <c r="J1842" s="259"/>
      <c r="K1842" s="259"/>
      <c r="L1842" s="259"/>
      <c r="M1842" s="258"/>
      <c r="N1842" s="259"/>
      <c r="O1842" s="260"/>
      <c r="P1842" s="415">
        <f>'[1]5.LO'!E46</f>
        <v>0</v>
      </c>
      <c r="Q1842" s="416"/>
      <c r="R1842" s="416"/>
      <c r="S1842" s="416"/>
      <c r="T1842" s="416"/>
      <c r="U1842" s="417"/>
      <c r="V1842" s="23"/>
    </row>
    <row r="1843" spans="1:22" s="16" customFormat="1" ht="24.75" customHeight="1" x14ac:dyDescent="0.2">
      <c r="A1843" s="11"/>
      <c r="B1843" s="29"/>
      <c r="C1843" s="29"/>
      <c r="D1843" s="249"/>
      <c r="E1843" s="264"/>
      <c r="F1843" s="467" t="s">
        <v>575</v>
      </c>
      <c r="G1843" s="537"/>
      <c r="H1843" s="537"/>
      <c r="I1843" s="537"/>
      <c r="J1843" s="537"/>
      <c r="K1843" s="537"/>
      <c r="L1843" s="537"/>
      <c r="M1843" s="537"/>
      <c r="N1843" s="537"/>
      <c r="O1843" s="538"/>
      <c r="P1843" s="449">
        <f>'[1]5.LO'!E47</f>
        <v>0</v>
      </c>
      <c r="Q1843" s="450"/>
      <c r="R1843" s="450"/>
      <c r="S1843" s="450"/>
      <c r="T1843" s="450"/>
      <c r="U1843" s="451"/>
      <c r="V1843" s="23"/>
    </row>
    <row r="1844" spans="1:22" s="16" customFormat="1" ht="18" customHeight="1" x14ac:dyDescent="0.2">
      <c r="A1844" s="11"/>
      <c r="B1844" s="29"/>
      <c r="C1844" s="29"/>
      <c r="D1844" s="261"/>
      <c r="E1844" s="262"/>
      <c r="F1844" s="254" t="s">
        <v>576</v>
      </c>
      <c r="G1844" s="258"/>
      <c r="H1844" s="259"/>
      <c r="I1844" s="259"/>
      <c r="J1844" s="259"/>
      <c r="K1844" s="259"/>
      <c r="L1844" s="259"/>
      <c r="M1844" s="258"/>
      <c r="N1844" s="259"/>
      <c r="O1844" s="260"/>
      <c r="P1844" s="415">
        <f>'[1]5.LO'!E48</f>
        <v>0</v>
      </c>
      <c r="Q1844" s="416"/>
      <c r="R1844" s="416"/>
      <c r="S1844" s="416"/>
      <c r="T1844" s="416"/>
      <c r="U1844" s="417"/>
      <c r="V1844" s="23"/>
    </row>
    <row r="1845" spans="1:22" s="16" customFormat="1" ht="18" customHeight="1" x14ac:dyDescent="0.2">
      <c r="A1845" s="11"/>
      <c r="B1845" s="29"/>
      <c r="C1845" s="29"/>
      <c r="D1845" s="261"/>
      <c r="E1845" s="262"/>
      <c r="F1845" s="254" t="s">
        <v>577</v>
      </c>
      <c r="G1845" s="258"/>
      <c r="H1845" s="259"/>
      <c r="I1845" s="259"/>
      <c r="J1845" s="259"/>
      <c r="K1845" s="259"/>
      <c r="L1845" s="259"/>
      <c r="M1845" s="258"/>
      <c r="N1845" s="259"/>
      <c r="O1845" s="260"/>
      <c r="P1845" s="415">
        <f>'[1]5.LO'!E49</f>
        <v>0</v>
      </c>
      <c r="Q1845" s="416"/>
      <c r="R1845" s="416"/>
      <c r="S1845" s="416"/>
      <c r="T1845" s="416"/>
      <c r="U1845" s="417"/>
      <c r="V1845" s="23"/>
    </row>
    <row r="1846" spans="1:22" s="16" customFormat="1" ht="18" customHeight="1" x14ac:dyDescent="0.2">
      <c r="A1846" s="11"/>
      <c r="B1846" s="29"/>
      <c r="C1846" s="29"/>
      <c r="D1846" s="249">
        <v>4</v>
      </c>
      <c r="E1846" s="250" t="s">
        <v>578</v>
      </c>
      <c r="F1846" s="250"/>
      <c r="G1846" s="258"/>
      <c r="H1846" s="259"/>
      <c r="I1846" s="259"/>
      <c r="J1846" s="259"/>
      <c r="K1846" s="259"/>
      <c r="L1846" s="259"/>
      <c r="M1846" s="258"/>
      <c r="N1846" s="259"/>
      <c r="O1846" s="260"/>
      <c r="P1846" s="449">
        <f>'[1]5.LO'!E50</f>
        <v>9529800</v>
      </c>
      <c r="Q1846" s="450"/>
      <c r="R1846" s="450"/>
      <c r="S1846" s="450"/>
      <c r="T1846" s="450"/>
      <c r="U1846" s="451"/>
      <c r="V1846" s="23"/>
    </row>
    <row r="1847" spans="1:22" s="16" customFormat="1" ht="26.25" customHeight="1" x14ac:dyDescent="0.2">
      <c r="A1847" s="11"/>
      <c r="B1847" s="29"/>
      <c r="C1847" s="29"/>
      <c r="D1847" s="249"/>
      <c r="E1847" s="265"/>
      <c r="F1847" s="467" t="s">
        <v>579</v>
      </c>
      <c r="G1847" s="537"/>
      <c r="H1847" s="537"/>
      <c r="I1847" s="537"/>
      <c r="J1847" s="537"/>
      <c r="K1847" s="537"/>
      <c r="L1847" s="537"/>
      <c r="M1847" s="537"/>
      <c r="N1847" s="537"/>
      <c r="O1847" s="538"/>
      <c r="P1847" s="449">
        <f>'[1]5.LO'!E51</f>
        <v>0</v>
      </c>
      <c r="Q1847" s="450"/>
      <c r="R1847" s="450"/>
      <c r="S1847" s="450"/>
      <c r="T1847" s="450"/>
      <c r="U1847" s="451"/>
      <c r="V1847" s="23"/>
    </row>
    <row r="1848" spans="1:22" s="16" customFormat="1" ht="18" customHeight="1" x14ac:dyDescent="0.2">
      <c r="A1848" s="11"/>
      <c r="B1848" s="29"/>
      <c r="C1848" s="29"/>
      <c r="D1848" s="261"/>
      <c r="E1848" s="262"/>
      <c r="F1848" s="254" t="s">
        <v>580</v>
      </c>
      <c r="G1848" s="258"/>
      <c r="H1848" s="259"/>
      <c r="I1848" s="259"/>
      <c r="J1848" s="259"/>
      <c r="K1848" s="259"/>
      <c r="L1848" s="259"/>
      <c r="M1848" s="258"/>
      <c r="N1848" s="259"/>
      <c r="O1848" s="260"/>
      <c r="P1848" s="415">
        <f>'[1]5.LO'!E52</f>
        <v>0</v>
      </c>
      <c r="Q1848" s="416"/>
      <c r="R1848" s="416"/>
      <c r="S1848" s="416"/>
      <c r="T1848" s="416"/>
      <c r="U1848" s="417"/>
      <c r="V1848" s="23"/>
    </row>
    <row r="1849" spans="1:22" s="16" customFormat="1" ht="27" customHeight="1" x14ac:dyDescent="0.2">
      <c r="A1849" s="11"/>
      <c r="B1849" s="29"/>
      <c r="C1849" s="29"/>
      <c r="D1849" s="261"/>
      <c r="E1849" s="262"/>
      <c r="F1849" s="469" t="s">
        <v>581</v>
      </c>
      <c r="G1849" s="537"/>
      <c r="H1849" s="537"/>
      <c r="I1849" s="537"/>
      <c r="J1849" s="537"/>
      <c r="K1849" s="537"/>
      <c r="L1849" s="537"/>
      <c r="M1849" s="537"/>
      <c r="N1849" s="537"/>
      <c r="O1849" s="538"/>
      <c r="P1849" s="415">
        <f>'[1]5.LO'!E53</f>
        <v>0</v>
      </c>
      <c r="Q1849" s="416"/>
      <c r="R1849" s="416"/>
      <c r="S1849" s="416"/>
      <c r="T1849" s="416"/>
      <c r="U1849" s="417"/>
      <c r="V1849" s="23"/>
    </row>
    <row r="1850" spans="1:22" s="16" customFormat="1" ht="18" customHeight="1" x14ac:dyDescent="0.2">
      <c r="A1850" s="11"/>
      <c r="B1850" s="29"/>
      <c r="C1850" s="29"/>
      <c r="D1850" s="261"/>
      <c r="E1850" s="262"/>
      <c r="F1850" s="254" t="s">
        <v>582</v>
      </c>
      <c r="G1850" s="258"/>
      <c r="H1850" s="259"/>
      <c r="I1850" s="259"/>
      <c r="J1850" s="259"/>
      <c r="K1850" s="259"/>
      <c r="L1850" s="259"/>
      <c r="M1850" s="258"/>
      <c r="N1850" s="259"/>
      <c r="O1850" s="260"/>
      <c r="P1850" s="415">
        <f>'[1]5.LO'!E54</f>
        <v>0</v>
      </c>
      <c r="Q1850" s="416"/>
      <c r="R1850" s="416"/>
      <c r="S1850" s="416"/>
      <c r="T1850" s="416"/>
      <c r="U1850" s="417"/>
      <c r="V1850" s="23"/>
    </row>
    <row r="1851" spans="1:22" s="16" customFormat="1" ht="18" customHeight="1" x14ac:dyDescent="0.2">
      <c r="A1851" s="11"/>
      <c r="B1851" s="29"/>
      <c r="C1851" s="29"/>
      <c r="D1851" s="261"/>
      <c r="E1851" s="262"/>
      <c r="F1851" s="254" t="s">
        <v>583</v>
      </c>
      <c r="G1851" s="258"/>
      <c r="H1851" s="259"/>
      <c r="I1851" s="259"/>
      <c r="J1851" s="259"/>
      <c r="K1851" s="259"/>
      <c r="L1851" s="259"/>
      <c r="M1851" s="258"/>
      <c r="N1851" s="259"/>
      <c r="O1851" s="260"/>
      <c r="P1851" s="415">
        <f>'[1]5.LO'!E55</f>
        <v>0</v>
      </c>
      <c r="Q1851" s="416"/>
      <c r="R1851" s="416"/>
      <c r="S1851" s="416"/>
      <c r="T1851" s="416"/>
      <c r="U1851" s="417"/>
      <c r="V1851" s="23"/>
    </row>
    <row r="1852" spans="1:22" s="16" customFormat="1" ht="18" customHeight="1" x14ac:dyDescent="0.2">
      <c r="A1852" s="11"/>
      <c r="B1852" s="29"/>
      <c r="C1852" s="29"/>
      <c r="D1852" s="261"/>
      <c r="E1852" s="262"/>
      <c r="F1852" s="254" t="s">
        <v>584</v>
      </c>
      <c r="G1852" s="258"/>
      <c r="H1852" s="259"/>
      <c r="I1852" s="259"/>
      <c r="J1852" s="259"/>
      <c r="K1852" s="259"/>
      <c r="L1852" s="259"/>
      <c r="M1852" s="258"/>
      <c r="N1852" s="259"/>
      <c r="O1852" s="260"/>
      <c r="P1852" s="415">
        <f>'[1]5.LO'!E56</f>
        <v>0</v>
      </c>
      <c r="Q1852" s="416"/>
      <c r="R1852" s="416"/>
      <c r="S1852" s="416"/>
      <c r="T1852" s="416"/>
      <c r="U1852" s="417"/>
      <c r="V1852" s="23"/>
    </row>
    <row r="1853" spans="1:22" s="16" customFormat="1" ht="18" customHeight="1" x14ac:dyDescent="0.2">
      <c r="A1853" s="11"/>
      <c r="B1853" s="29"/>
      <c r="C1853" s="29"/>
      <c r="D1853" s="261"/>
      <c r="E1853" s="262"/>
      <c r="F1853" s="254" t="s">
        <v>585</v>
      </c>
      <c r="G1853" s="258"/>
      <c r="H1853" s="259"/>
      <c r="I1853" s="259"/>
      <c r="J1853" s="259"/>
      <c r="K1853" s="259"/>
      <c r="L1853" s="259"/>
      <c r="M1853" s="258"/>
      <c r="N1853" s="259"/>
      <c r="O1853" s="260"/>
      <c r="P1853" s="415">
        <f>'[1]5.LO'!E57</f>
        <v>0</v>
      </c>
      <c r="Q1853" s="416"/>
      <c r="R1853" s="416"/>
      <c r="S1853" s="416"/>
      <c r="T1853" s="416"/>
      <c r="U1853" s="417"/>
      <c r="V1853" s="23"/>
    </row>
    <row r="1854" spans="1:22" s="16" customFormat="1" ht="18" customHeight="1" x14ac:dyDescent="0.2">
      <c r="A1854" s="11"/>
      <c r="B1854" s="29"/>
      <c r="C1854" s="29"/>
      <c r="D1854" s="249"/>
      <c r="E1854" s="265"/>
      <c r="F1854" s="250" t="s">
        <v>231</v>
      </c>
      <c r="G1854" s="258"/>
      <c r="H1854" s="259"/>
      <c r="I1854" s="259"/>
      <c r="J1854" s="259"/>
      <c r="K1854" s="259"/>
      <c r="L1854" s="259"/>
      <c r="M1854" s="258"/>
      <c r="N1854" s="259"/>
      <c r="O1854" s="260"/>
      <c r="P1854" s="449">
        <f>'[1]5.LO'!E58</f>
        <v>0</v>
      </c>
      <c r="Q1854" s="450"/>
      <c r="R1854" s="450"/>
      <c r="S1854" s="450"/>
      <c r="T1854" s="450"/>
      <c r="U1854" s="451"/>
      <c r="V1854" s="23"/>
    </row>
    <row r="1855" spans="1:22" s="16" customFormat="1" ht="18" customHeight="1" x14ac:dyDescent="0.2">
      <c r="A1855" s="11"/>
      <c r="B1855" s="29"/>
      <c r="C1855" s="29"/>
      <c r="D1855" s="261"/>
      <c r="E1855" s="262"/>
      <c r="F1855" s="254" t="s">
        <v>586</v>
      </c>
      <c r="G1855" s="258"/>
      <c r="H1855" s="259"/>
      <c r="I1855" s="259"/>
      <c r="J1855" s="259"/>
      <c r="K1855" s="259"/>
      <c r="L1855" s="259"/>
      <c r="M1855" s="258"/>
      <c r="N1855" s="259"/>
      <c r="O1855" s="260"/>
      <c r="P1855" s="415">
        <f>'[1]5.LO'!E59</f>
        <v>0</v>
      </c>
      <c r="Q1855" s="416"/>
      <c r="R1855" s="416"/>
      <c r="S1855" s="416"/>
      <c r="T1855" s="416"/>
      <c r="U1855" s="417"/>
      <c r="V1855" s="23"/>
    </row>
    <row r="1856" spans="1:22" s="16" customFormat="1" ht="18" customHeight="1" x14ac:dyDescent="0.2">
      <c r="A1856" s="11"/>
      <c r="B1856" s="29"/>
      <c r="C1856" s="29"/>
      <c r="D1856" s="261"/>
      <c r="E1856" s="262"/>
      <c r="F1856" s="254" t="s">
        <v>587</v>
      </c>
      <c r="G1856" s="258"/>
      <c r="H1856" s="259"/>
      <c r="I1856" s="259"/>
      <c r="J1856" s="259"/>
      <c r="K1856" s="259"/>
      <c r="L1856" s="259"/>
      <c r="M1856" s="258"/>
      <c r="N1856" s="259"/>
      <c r="O1856" s="260"/>
      <c r="P1856" s="415">
        <f>'[1]5.LO'!E60</f>
        <v>0</v>
      </c>
      <c r="Q1856" s="416"/>
      <c r="R1856" s="416"/>
      <c r="S1856" s="416"/>
      <c r="T1856" s="416"/>
      <c r="U1856" s="417"/>
      <c r="V1856" s="23"/>
    </row>
    <row r="1857" spans="1:22" s="16" customFormat="1" ht="18" customHeight="1" x14ac:dyDescent="0.2">
      <c r="A1857" s="11"/>
      <c r="B1857" s="29"/>
      <c r="C1857" s="29"/>
      <c r="D1857" s="249"/>
      <c r="E1857" s="265"/>
      <c r="F1857" s="250" t="s">
        <v>588</v>
      </c>
      <c r="G1857" s="258"/>
      <c r="H1857" s="259"/>
      <c r="I1857" s="259"/>
      <c r="J1857" s="259"/>
      <c r="K1857" s="259"/>
      <c r="L1857" s="259"/>
      <c r="M1857" s="258"/>
      <c r="N1857" s="259"/>
      <c r="O1857" s="260"/>
      <c r="P1857" s="449">
        <f>'[1]5.LO'!E61</f>
        <v>0</v>
      </c>
      <c r="Q1857" s="450"/>
      <c r="R1857" s="450"/>
      <c r="S1857" s="450"/>
      <c r="T1857" s="450"/>
      <c r="U1857" s="451"/>
      <c r="V1857" s="23"/>
    </row>
    <row r="1858" spans="1:22" s="16" customFormat="1" ht="18" customHeight="1" x14ac:dyDescent="0.2">
      <c r="A1858" s="11"/>
      <c r="B1858" s="29"/>
      <c r="C1858" s="29"/>
      <c r="D1858" s="261"/>
      <c r="E1858" s="262"/>
      <c r="F1858" s="254" t="s">
        <v>589</v>
      </c>
      <c r="G1858" s="258"/>
      <c r="H1858" s="259"/>
      <c r="I1858" s="259"/>
      <c r="J1858" s="259"/>
      <c r="K1858" s="259"/>
      <c r="L1858" s="259"/>
      <c r="M1858" s="258"/>
      <c r="N1858" s="259"/>
      <c r="O1858" s="260"/>
      <c r="P1858" s="415">
        <f>'[1]5.LO'!E62</f>
        <v>0</v>
      </c>
      <c r="Q1858" s="416"/>
      <c r="R1858" s="416"/>
      <c r="S1858" s="416"/>
      <c r="T1858" s="416"/>
      <c r="U1858" s="417"/>
      <c r="V1858" s="23"/>
    </row>
    <row r="1859" spans="1:22" s="16" customFormat="1" ht="18" customHeight="1" x14ac:dyDescent="0.2">
      <c r="A1859" s="11"/>
      <c r="B1859" s="29"/>
      <c r="C1859" s="29"/>
      <c r="D1859" s="261"/>
      <c r="E1859" s="262"/>
      <c r="F1859" s="254" t="s">
        <v>590</v>
      </c>
      <c r="G1859" s="258"/>
      <c r="H1859" s="259"/>
      <c r="I1859" s="259"/>
      <c r="J1859" s="259"/>
      <c r="K1859" s="259"/>
      <c r="L1859" s="259"/>
      <c r="M1859" s="258"/>
      <c r="N1859" s="259"/>
      <c r="O1859" s="260"/>
      <c r="P1859" s="415">
        <f>'[1]5.LO'!E63</f>
        <v>0</v>
      </c>
      <c r="Q1859" s="416"/>
      <c r="R1859" s="416"/>
      <c r="S1859" s="416"/>
      <c r="T1859" s="416"/>
      <c r="U1859" s="417"/>
      <c r="V1859" s="23"/>
    </row>
    <row r="1860" spans="1:22" s="16" customFormat="1" ht="18" customHeight="1" x14ac:dyDescent="0.2">
      <c r="A1860" s="11"/>
      <c r="B1860" s="29"/>
      <c r="C1860" s="29"/>
      <c r="D1860" s="261"/>
      <c r="E1860" s="262"/>
      <c r="F1860" s="254" t="s">
        <v>591</v>
      </c>
      <c r="G1860" s="258"/>
      <c r="H1860" s="259"/>
      <c r="I1860" s="259"/>
      <c r="J1860" s="259"/>
      <c r="K1860" s="259"/>
      <c r="L1860" s="259"/>
      <c r="M1860" s="258"/>
      <c r="N1860" s="259"/>
      <c r="O1860" s="260"/>
      <c r="P1860" s="415">
        <f>'[1]5.LO'!E64</f>
        <v>0</v>
      </c>
      <c r="Q1860" s="416"/>
      <c r="R1860" s="416"/>
      <c r="S1860" s="416"/>
      <c r="T1860" s="416"/>
      <c r="U1860" s="417"/>
      <c r="V1860" s="23"/>
    </row>
    <row r="1861" spans="1:22" s="16" customFormat="1" ht="18" customHeight="1" x14ac:dyDescent="0.2">
      <c r="A1861" s="11"/>
      <c r="B1861" s="29"/>
      <c r="C1861" s="29"/>
      <c r="D1861" s="261"/>
      <c r="E1861" s="262"/>
      <c r="F1861" s="254" t="s">
        <v>592</v>
      </c>
      <c r="G1861" s="258"/>
      <c r="H1861" s="259"/>
      <c r="I1861" s="259"/>
      <c r="J1861" s="259"/>
      <c r="K1861" s="259"/>
      <c r="L1861" s="259"/>
      <c r="M1861" s="258"/>
      <c r="N1861" s="259"/>
      <c r="O1861" s="260"/>
      <c r="P1861" s="415">
        <f>'[1]5.LO'!E65</f>
        <v>0</v>
      </c>
      <c r="Q1861" s="416"/>
      <c r="R1861" s="416"/>
      <c r="S1861" s="416"/>
      <c r="T1861" s="416"/>
      <c r="U1861" s="417"/>
      <c r="V1861" s="23"/>
    </row>
    <row r="1862" spans="1:22" s="16" customFormat="1" ht="18" customHeight="1" x14ac:dyDescent="0.2">
      <c r="A1862" s="11"/>
      <c r="B1862" s="29"/>
      <c r="C1862" s="29"/>
      <c r="D1862" s="249"/>
      <c r="E1862" s="265"/>
      <c r="F1862" s="250" t="s">
        <v>593</v>
      </c>
      <c r="G1862" s="258"/>
      <c r="H1862" s="259"/>
      <c r="I1862" s="259"/>
      <c r="J1862" s="259"/>
      <c r="K1862" s="259"/>
      <c r="L1862" s="259"/>
      <c r="M1862" s="258"/>
      <c r="N1862" s="259"/>
      <c r="O1862" s="260"/>
      <c r="P1862" s="449">
        <f>'[1]5.LO'!E66</f>
        <v>0</v>
      </c>
      <c r="Q1862" s="450"/>
      <c r="R1862" s="450"/>
      <c r="S1862" s="450"/>
      <c r="T1862" s="450"/>
      <c r="U1862" s="451"/>
      <c r="V1862" s="23"/>
    </row>
    <row r="1863" spans="1:22" s="16" customFormat="1" ht="18" customHeight="1" x14ac:dyDescent="0.2">
      <c r="A1863" s="11"/>
      <c r="B1863" s="29"/>
      <c r="C1863" s="29"/>
      <c r="D1863" s="261"/>
      <c r="E1863" s="262"/>
      <c r="F1863" s="254" t="s">
        <v>594</v>
      </c>
      <c r="G1863" s="258"/>
      <c r="H1863" s="259"/>
      <c r="I1863" s="259"/>
      <c r="J1863" s="259"/>
      <c r="K1863" s="259"/>
      <c r="L1863" s="259"/>
      <c r="M1863" s="258"/>
      <c r="N1863" s="259"/>
      <c r="O1863" s="260"/>
      <c r="P1863" s="415">
        <f>'[1]5.LO'!E67</f>
        <v>0</v>
      </c>
      <c r="Q1863" s="416"/>
      <c r="R1863" s="416"/>
      <c r="S1863" s="416"/>
      <c r="T1863" s="416"/>
      <c r="U1863" s="417"/>
      <c r="V1863" s="23"/>
    </row>
    <row r="1864" spans="1:22" s="16" customFormat="1" ht="18" customHeight="1" x14ac:dyDescent="0.2">
      <c r="A1864" s="11"/>
      <c r="B1864" s="29"/>
      <c r="C1864" s="29"/>
      <c r="D1864" s="261"/>
      <c r="E1864" s="262"/>
      <c r="F1864" s="254" t="s">
        <v>595</v>
      </c>
      <c r="G1864" s="258"/>
      <c r="H1864" s="259"/>
      <c r="I1864" s="259"/>
      <c r="J1864" s="259"/>
      <c r="K1864" s="259"/>
      <c r="L1864" s="259"/>
      <c r="M1864" s="258"/>
      <c r="N1864" s="259"/>
      <c r="O1864" s="260"/>
      <c r="P1864" s="415">
        <f>'[1]5.LO'!E68</f>
        <v>0</v>
      </c>
      <c r="Q1864" s="416"/>
      <c r="R1864" s="416"/>
      <c r="S1864" s="416"/>
      <c r="T1864" s="416"/>
      <c r="U1864" s="417"/>
      <c r="V1864" s="23"/>
    </row>
    <row r="1865" spans="1:22" s="16" customFormat="1" ht="27" customHeight="1" x14ac:dyDescent="0.2">
      <c r="A1865" s="11"/>
      <c r="B1865" s="29"/>
      <c r="C1865" s="29"/>
      <c r="D1865" s="249"/>
      <c r="E1865" s="265"/>
      <c r="F1865" s="467" t="s">
        <v>596</v>
      </c>
      <c r="G1865" s="537"/>
      <c r="H1865" s="537"/>
      <c r="I1865" s="537"/>
      <c r="J1865" s="537"/>
      <c r="K1865" s="537"/>
      <c r="L1865" s="537"/>
      <c r="M1865" s="537"/>
      <c r="N1865" s="537"/>
      <c r="O1865" s="538"/>
      <c r="P1865" s="449">
        <f>'[1]5.LO'!E69</f>
        <v>0</v>
      </c>
      <c r="Q1865" s="450"/>
      <c r="R1865" s="450"/>
      <c r="S1865" s="450"/>
      <c r="T1865" s="450"/>
      <c r="U1865" s="451"/>
      <c r="V1865" s="23"/>
    </row>
    <row r="1866" spans="1:22" s="16" customFormat="1" ht="18" customHeight="1" x14ac:dyDescent="0.2">
      <c r="A1866" s="11"/>
      <c r="B1866" s="29"/>
      <c r="C1866" s="29"/>
      <c r="D1866" s="261"/>
      <c r="E1866" s="262"/>
      <c r="F1866" s="254" t="s">
        <v>597</v>
      </c>
      <c r="G1866" s="258"/>
      <c r="H1866" s="259"/>
      <c r="I1866" s="259"/>
      <c r="J1866" s="259"/>
      <c r="K1866" s="259"/>
      <c r="L1866" s="259"/>
      <c r="M1866" s="258"/>
      <c r="N1866" s="259"/>
      <c r="O1866" s="260"/>
      <c r="P1866" s="415">
        <f>'[1]5.LO'!E70</f>
        <v>0</v>
      </c>
      <c r="Q1866" s="416"/>
      <c r="R1866" s="416"/>
      <c r="S1866" s="416"/>
      <c r="T1866" s="416"/>
      <c r="U1866" s="417"/>
      <c r="V1866" s="23"/>
    </row>
    <row r="1867" spans="1:22" s="16" customFormat="1" ht="18" customHeight="1" x14ac:dyDescent="0.2">
      <c r="A1867" s="11"/>
      <c r="B1867" s="29"/>
      <c r="C1867" s="29"/>
      <c r="D1867" s="249"/>
      <c r="E1867" s="265"/>
      <c r="F1867" s="250" t="s">
        <v>598</v>
      </c>
      <c r="G1867" s="258"/>
      <c r="H1867" s="259"/>
      <c r="I1867" s="259"/>
      <c r="J1867" s="259"/>
      <c r="K1867" s="259"/>
      <c r="L1867" s="259"/>
      <c r="M1867" s="258"/>
      <c r="N1867" s="259"/>
      <c r="O1867" s="260"/>
      <c r="P1867" s="449">
        <f>'[1]5.LO'!E71</f>
        <v>0</v>
      </c>
      <c r="Q1867" s="450"/>
      <c r="R1867" s="450"/>
      <c r="S1867" s="450"/>
      <c r="T1867" s="450"/>
      <c r="U1867" s="451"/>
      <c r="V1867" s="23"/>
    </row>
    <row r="1868" spans="1:22" s="16" customFormat="1" ht="18" customHeight="1" x14ac:dyDescent="0.2">
      <c r="A1868" s="11"/>
      <c r="B1868" s="29"/>
      <c r="C1868" s="29"/>
      <c r="D1868" s="261"/>
      <c r="E1868" s="262"/>
      <c r="F1868" s="254" t="s">
        <v>599</v>
      </c>
      <c r="G1868" s="258"/>
      <c r="H1868" s="259"/>
      <c r="I1868" s="259"/>
      <c r="J1868" s="259"/>
      <c r="K1868" s="259"/>
      <c r="L1868" s="259"/>
      <c r="M1868" s="258"/>
      <c r="N1868" s="259"/>
      <c r="O1868" s="260"/>
      <c r="P1868" s="415">
        <f>'[1]5.LO'!E74</f>
        <v>0</v>
      </c>
      <c r="Q1868" s="416"/>
      <c r="R1868" s="416"/>
      <c r="S1868" s="416"/>
      <c r="T1868" s="416"/>
      <c r="U1868" s="417"/>
      <c r="V1868" s="23"/>
    </row>
    <row r="1869" spans="1:22" s="16" customFormat="1" ht="18" customHeight="1" x14ac:dyDescent="0.2">
      <c r="A1869" s="11"/>
      <c r="B1869" s="29"/>
      <c r="C1869" s="29"/>
      <c r="D1869" s="249"/>
      <c r="E1869" s="265"/>
      <c r="F1869" s="250" t="s">
        <v>234</v>
      </c>
      <c r="G1869" s="258"/>
      <c r="H1869" s="259"/>
      <c r="I1869" s="259"/>
      <c r="J1869" s="259"/>
      <c r="K1869" s="259"/>
      <c r="L1869" s="259"/>
      <c r="M1869" s="258"/>
      <c r="N1869" s="259"/>
      <c r="O1869" s="260"/>
      <c r="P1869" s="449">
        <f>'[1]5.LO'!E73</f>
        <v>0</v>
      </c>
      <c r="Q1869" s="450"/>
      <c r="R1869" s="450"/>
      <c r="S1869" s="450"/>
      <c r="T1869" s="450"/>
      <c r="U1869" s="451"/>
      <c r="V1869" s="23"/>
    </row>
    <row r="1870" spans="1:22" s="16" customFormat="1" ht="18" customHeight="1" x14ac:dyDescent="0.2">
      <c r="A1870" s="11"/>
      <c r="B1870" s="29"/>
      <c r="C1870" s="29"/>
      <c r="D1870" s="261"/>
      <c r="E1870" s="262"/>
      <c r="F1870" s="254" t="s">
        <v>600</v>
      </c>
      <c r="G1870" s="258"/>
      <c r="H1870" s="259"/>
      <c r="I1870" s="259"/>
      <c r="J1870" s="259"/>
      <c r="K1870" s="259"/>
      <c r="L1870" s="259"/>
      <c r="M1870" s="258"/>
      <c r="N1870" s="259"/>
      <c r="O1870" s="260"/>
      <c r="P1870" s="415">
        <f>'[1]5.LO'!E74</f>
        <v>0</v>
      </c>
      <c r="Q1870" s="416"/>
      <c r="R1870" s="416"/>
      <c r="S1870" s="416"/>
      <c r="T1870" s="416"/>
      <c r="U1870" s="417"/>
      <c r="V1870" s="23"/>
    </row>
    <row r="1871" spans="1:22" s="16" customFormat="1" ht="18" customHeight="1" x14ac:dyDescent="0.2">
      <c r="A1871" s="11"/>
      <c r="B1871" s="29"/>
      <c r="C1871" s="29"/>
      <c r="D1871" s="249"/>
      <c r="E1871" s="265"/>
      <c r="F1871" s="250" t="s">
        <v>601</v>
      </c>
      <c r="G1871" s="258"/>
      <c r="H1871" s="259"/>
      <c r="I1871" s="259"/>
      <c r="J1871" s="259"/>
      <c r="K1871" s="259"/>
      <c r="L1871" s="259"/>
      <c r="M1871" s="258"/>
      <c r="N1871" s="259"/>
      <c r="O1871" s="260"/>
      <c r="P1871" s="449">
        <f>'[1]5.LO'!E75</f>
        <v>0</v>
      </c>
      <c r="Q1871" s="450"/>
      <c r="R1871" s="450"/>
      <c r="S1871" s="450"/>
      <c r="T1871" s="450"/>
      <c r="U1871" s="451"/>
      <c r="V1871" s="23"/>
    </row>
    <row r="1872" spans="1:22" s="16" customFormat="1" ht="18" customHeight="1" x14ac:dyDescent="0.2">
      <c r="A1872" s="11"/>
      <c r="B1872" s="29"/>
      <c r="C1872" s="29"/>
      <c r="D1872" s="261"/>
      <c r="E1872" s="262"/>
      <c r="F1872" s="254" t="s">
        <v>602</v>
      </c>
      <c r="G1872" s="258"/>
      <c r="H1872" s="259"/>
      <c r="I1872" s="259"/>
      <c r="J1872" s="259"/>
      <c r="K1872" s="259"/>
      <c r="L1872" s="259"/>
      <c r="M1872" s="258"/>
      <c r="N1872" s="259"/>
      <c r="O1872" s="260"/>
      <c r="P1872" s="415">
        <f>'[1]5.LO'!E77</f>
        <v>0</v>
      </c>
      <c r="Q1872" s="416"/>
      <c r="R1872" s="416"/>
      <c r="S1872" s="416"/>
      <c r="T1872" s="416"/>
      <c r="U1872" s="417"/>
      <c r="V1872" s="23"/>
    </row>
    <row r="1873" spans="1:22" s="16" customFormat="1" ht="18" customHeight="1" x14ac:dyDescent="0.2">
      <c r="A1873" s="11"/>
      <c r="B1873" s="29"/>
      <c r="C1873" s="29"/>
      <c r="D1873" s="261"/>
      <c r="E1873" s="262"/>
      <c r="F1873" s="254" t="s">
        <v>603</v>
      </c>
      <c r="G1873" s="258"/>
      <c r="H1873" s="259"/>
      <c r="I1873" s="259"/>
      <c r="J1873" s="259"/>
      <c r="K1873" s="259"/>
      <c r="L1873" s="259"/>
      <c r="M1873" s="258"/>
      <c r="N1873" s="259"/>
      <c r="O1873" s="260"/>
      <c r="P1873" s="415">
        <f>'[1]5.LO'!E77</f>
        <v>0</v>
      </c>
      <c r="Q1873" s="416"/>
      <c r="R1873" s="416"/>
      <c r="S1873" s="416"/>
      <c r="T1873" s="416"/>
      <c r="U1873" s="417"/>
      <c r="V1873" s="23"/>
    </row>
    <row r="1874" spans="1:22" s="16" customFormat="1" ht="18" customHeight="1" x14ac:dyDescent="0.2">
      <c r="A1874" s="11"/>
      <c r="B1874" s="29"/>
      <c r="C1874" s="29"/>
      <c r="D1874" s="249"/>
      <c r="E1874" s="265"/>
      <c r="F1874" s="250" t="s">
        <v>604</v>
      </c>
      <c r="G1874" s="258"/>
      <c r="H1874" s="259"/>
      <c r="I1874" s="259"/>
      <c r="J1874" s="259"/>
      <c r="K1874" s="259"/>
      <c r="L1874" s="259"/>
      <c r="M1874" s="258"/>
      <c r="N1874" s="259"/>
      <c r="O1874" s="260"/>
      <c r="P1874" s="449">
        <f>'[1]5.LO'!E78</f>
        <v>0</v>
      </c>
      <c r="Q1874" s="450"/>
      <c r="R1874" s="450"/>
      <c r="S1874" s="450"/>
      <c r="T1874" s="450"/>
      <c r="U1874" s="451"/>
      <c r="V1874" s="23"/>
    </row>
    <row r="1875" spans="1:22" s="16" customFormat="1" ht="18" customHeight="1" x14ac:dyDescent="0.2">
      <c r="A1875" s="11"/>
      <c r="B1875" s="29"/>
      <c r="C1875" s="29"/>
      <c r="D1875" s="261"/>
      <c r="E1875" s="262"/>
      <c r="F1875" s="254" t="s">
        <v>604</v>
      </c>
      <c r="G1875" s="258"/>
      <c r="H1875" s="259"/>
      <c r="I1875" s="259"/>
      <c r="J1875" s="259"/>
      <c r="K1875" s="259"/>
      <c r="L1875" s="259"/>
      <c r="M1875" s="258"/>
      <c r="N1875" s="259"/>
      <c r="O1875" s="260"/>
      <c r="P1875" s="415">
        <f>'[1]5.LO'!E79</f>
        <v>0</v>
      </c>
      <c r="Q1875" s="416"/>
      <c r="R1875" s="416"/>
      <c r="S1875" s="416"/>
      <c r="T1875" s="416"/>
      <c r="U1875" s="417"/>
      <c r="V1875" s="23"/>
    </row>
    <row r="1876" spans="1:22" s="16" customFormat="1" ht="18" customHeight="1" x14ac:dyDescent="0.2">
      <c r="A1876" s="11"/>
      <c r="B1876" s="29"/>
      <c r="C1876" s="29"/>
      <c r="D1876" s="249"/>
      <c r="E1876" s="265"/>
      <c r="F1876" s="250" t="s">
        <v>605</v>
      </c>
      <c r="G1876" s="258"/>
      <c r="H1876" s="259"/>
      <c r="I1876" s="259"/>
      <c r="J1876" s="259"/>
      <c r="K1876" s="259"/>
      <c r="L1876" s="259"/>
      <c r="M1876" s="258"/>
      <c r="N1876" s="259"/>
      <c r="O1876" s="260"/>
      <c r="P1876" s="449">
        <f>'[1]5.LO'!E80</f>
        <v>9529800</v>
      </c>
      <c r="Q1876" s="450"/>
      <c r="R1876" s="450"/>
      <c r="S1876" s="450"/>
      <c r="T1876" s="450"/>
      <c r="U1876" s="451"/>
      <c r="V1876" s="23"/>
    </row>
    <row r="1877" spans="1:22" s="16" customFormat="1" ht="18" customHeight="1" x14ac:dyDescent="0.2">
      <c r="A1877" s="11"/>
      <c r="B1877" s="29"/>
      <c r="C1877" s="29"/>
      <c r="D1877" s="261"/>
      <c r="E1877" s="262"/>
      <c r="F1877" s="254" t="s">
        <v>606</v>
      </c>
      <c r="G1877" s="258"/>
      <c r="H1877" s="259"/>
      <c r="I1877" s="259"/>
      <c r="J1877" s="259"/>
      <c r="K1877" s="259"/>
      <c r="L1877" s="259"/>
      <c r="M1877" s="258"/>
      <c r="N1877" s="259"/>
      <c r="O1877" s="260"/>
      <c r="P1877" s="415">
        <f>'[1]5.LO'!E81</f>
        <v>0</v>
      </c>
      <c r="Q1877" s="416"/>
      <c r="R1877" s="416"/>
      <c r="S1877" s="416"/>
      <c r="T1877" s="416"/>
      <c r="U1877" s="417"/>
      <c r="V1877" s="23"/>
    </row>
    <row r="1878" spans="1:22" s="16" customFormat="1" ht="18" customHeight="1" x14ac:dyDescent="0.2">
      <c r="A1878" s="11"/>
      <c r="B1878" s="29"/>
      <c r="C1878" s="29"/>
      <c r="D1878" s="261"/>
      <c r="E1878" s="262"/>
      <c r="F1878" s="254" t="s">
        <v>607</v>
      </c>
      <c r="G1878" s="258"/>
      <c r="H1878" s="259"/>
      <c r="I1878" s="259"/>
      <c r="J1878" s="259"/>
      <c r="K1878" s="259"/>
      <c r="L1878" s="259"/>
      <c r="M1878" s="258"/>
      <c r="N1878" s="259"/>
      <c r="O1878" s="260"/>
      <c r="P1878" s="415">
        <f>'[1]5.LO'!E82</f>
        <v>9529800</v>
      </c>
      <c r="Q1878" s="416"/>
      <c r="R1878" s="416"/>
      <c r="S1878" s="416"/>
      <c r="T1878" s="416"/>
      <c r="U1878" s="417"/>
      <c r="V1878" s="23"/>
    </row>
    <row r="1879" spans="1:22" s="16" customFormat="1" ht="19.5" customHeight="1" x14ac:dyDescent="0.2">
      <c r="A1879" s="11"/>
      <c r="B1879" s="29"/>
      <c r="C1879" s="29"/>
      <c r="D1879" s="491" t="s">
        <v>608</v>
      </c>
      <c r="E1879" s="492"/>
      <c r="F1879" s="492"/>
      <c r="G1879" s="492"/>
      <c r="H1879" s="492"/>
      <c r="I1879" s="492"/>
      <c r="J1879" s="492"/>
      <c r="K1879" s="492"/>
      <c r="L1879" s="492"/>
      <c r="M1879" s="492"/>
      <c r="N1879" s="492"/>
      <c r="O1879" s="493"/>
      <c r="P1879" s="494">
        <f>P1803+P1814+P1835+P1846</f>
        <v>4986810600</v>
      </c>
      <c r="Q1879" s="495"/>
      <c r="R1879" s="495"/>
      <c r="S1879" s="495"/>
      <c r="T1879" s="495"/>
      <c r="U1879" s="496"/>
      <c r="V1879" s="23"/>
    </row>
    <row r="1880" spans="1:22" s="16" customFormat="1" ht="30" customHeight="1" x14ac:dyDescent="0.2">
      <c r="A1880" s="11"/>
      <c r="B1880" s="29"/>
      <c r="C1880" s="29"/>
      <c r="D1880" s="536" t="str">
        <f>"Pendapatan-LO BLUD "&amp;'[1]2.ISIAN DATA SKPD'!D2&amp;" tersebut terdiri dari :"</f>
        <v>Pendapatan-LO BLUD Dinas Pariwisata Dan Kebudayaan tersebut terdiri dari :</v>
      </c>
      <c r="E1880" s="536"/>
      <c r="F1880" s="536"/>
      <c r="G1880" s="536"/>
      <c r="H1880" s="536"/>
      <c r="I1880" s="536"/>
      <c r="J1880" s="536"/>
      <c r="K1880" s="536"/>
      <c r="L1880" s="536"/>
      <c r="M1880" s="536"/>
      <c r="N1880" s="536"/>
      <c r="O1880" s="536"/>
      <c r="P1880" s="536"/>
      <c r="Q1880" s="536"/>
      <c r="R1880" s="536"/>
      <c r="S1880" s="536"/>
      <c r="T1880" s="536"/>
      <c r="U1880" s="536"/>
      <c r="V1880" s="23"/>
    </row>
    <row r="1881" spans="1:22" s="16" customFormat="1" ht="18.75" customHeight="1" x14ac:dyDescent="0.2">
      <c r="A1881" s="11"/>
      <c r="B1881" s="29"/>
      <c r="C1881" s="29"/>
      <c r="D1881" s="77" t="s">
        <v>609</v>
      </c>
      <c r="E1881" s="532" t="s">
        <v>610</v>
      </c>
      <c r="F1881" s="532"/>
      <c r="G1881" s="532"/>
      <c r="H1881" s="532"/>
      <c r="I1881" s="532"/>
      <c r="J1881" s="532"/>
      <c r="K1881" s="532"/>
      <c r="L1881" s="532"/>
      <c r="M1881" s="532"/>
      <c r="N1881" s="77" t="s">
        <v>323</v>
      </c>
      <c r="O1881" s="533">
        <v>0</v>
      </c>
      <c r="P1881" s="533"/>
      <c r="Q1881" s="533"/>
      <c r="R1881" s="533"/>
      <c r="S1881" s="533"/>
      <c r="T1881" s="533"/>
      <c r="U1881" s="533"/>
      <c r="V1881" s="23"/>
    </row>
    <row r="1882" spans="1:22" s="16" customFormat="1" ht="18.75" customHeight="1" x14ac:dyDescent="0.2">
      <c r="A1882" s="11"/>
      <c r="B1882" s="29"/>
      <c r="C1882" s="29"/>
      <c r="D1882" s="77" t="s">
        <v>49</v>
      </c>
      <c r="E1882" s="532" t="s">
        <v>39</v>
      </c>
      <c r="F1882" s="532"/>
      <c r="G1882" s="532"/>
      <c r="H1882" s="532"/>
      <c r="I1882" s="532"/>
      <c r="J1882" s="532"/>
      <c r="K1882" s="532"/>
      <c r="L1882" s="532"/>
      <c r="M1882" s="532"/>
      <c r="N1882" s="77" t="s">
        <v>323</v>
      </c>
      <c r="O1882" s="533">
        <v>0</v>
      </c>
      <c r="P1882" s="533"/>
      <c r="Q1882" s="533"/>
      <c r="R1882" s="533"/>
      <c r="S1882" s="533"/>
      <c r="T1882" s="533"/>
      <c r="U1882" s="533"/>
      <c r="V1882" s="23"/>
    </row>
    <row r="1883" spans="1:22" s="16" customFormat="1" ht="18.75" customHeight="1" x14ac:dyDescent="0.2">
      <c r="A1883" s="11"/>
      <c r="B1883" s="29"/>
      <c r="C1883" s="29"/>
      <c r="D1883" s="77" t="s">
        <v>170</v>
      </c>
      <c r="E1883" s="532" t="s">
        <v>611</v>
      </c>
      <c r="F1883" s="532"/>
      <c r="G1883" s="532"/>
      <c r="H1883" s="532"/>
      <c r="I1883" s="532"/>
      <c r="J1883" s="532"/>
      <c r="K1883" s="532"/>
      <c r="L1883" s="532"/>
      <c r="M1883" s="532"/>
      <c r="N1883" s="77" t="s">
        <v>323</v>
      </c>
      <c r="O1883" s="533">
        <v>0</v>
      </c>
      <c r="P1883" s="533"/>
      <c r="Q1883" s="533"/>
      <c r="R1883" s="533"/>
      <c r="S1883" s="533"/>
      <c r="T1883" s="533"/>
      <c r="U1883" s="533"/>
      <c r="V1883" s="23"/>
    </row>
    <row r="1884" spans="1:22" s="16" customFormat="1" ht="18.75" customHeight="1" x14ac:dyDescent="0.2">
      <c r="A1884" s="11"/>
      <c r="B1884" s="29"/>
      <c r="C1884" s="29"/>
      <c r="D1884" s="77" t="s">
        <v>175</v>
      </c>
      <c r="E1884" s="532" t="s">
        <v>612</v>
      </c>
      <c r="F1884" s="532"/>
      <c r="G1884" s="532"/>
      <c r="H1884" s="532"/>
      <c r="I1884" s="532"/>
      <c r="J1884" s="532"/>
      <c r="K1884" s="532"/>
      <c r="L1884" s="532"/>
      <c r="M1884" s="532"/>
      <c r="N1884" s="77" t="s">
        <v>323</v>
      </c>
      <c r="O1884" s="533">
        <v>0</v>
      </c>
      <c r="P1884" s="533"/>
      <c r="Q1884" s="533"/>
      <c r="R1884" s="533"/>
      <c r="S1884" s="533"/>
      <c r="T1884" s="533"/>
      <c r="U1884" s="533"/>
      <c r="V1884" s="23"/>
    </row>
    <row r="1885" spans="1:22" s="16" customFormat="1" ht="20.25" customHeight="1" x14ac:dyDescent="0.2">
      <c r="A1885" s="11"/>
      <c r="B1885" s="29"/>
      <c r="C1885" s="29"/>
      <c r="D1885" s="37"/>
      <c r="E1885" s="534" t="s">
        <v>205</v>
      </c>
      <c r="F1885" s="534"/>
      <c r="G1885" s="534"/>
      <c r="H1885" s="534"/>
      <c r="I1885" s="534"/>
      <c r="J1885" s="534"/>
      <c r="K1885" s="534"/>
      <c r="L1885" s="534"/>
      <c r="M1885" s="534"/>
      <c r="N1885" s="37"/>
      <c r="O1885" s="535">
        <f>SUM(O1881:U1884)</f>
        <v>0</v>
      </c>
      <c r="P1885" s="535"/>
      <c r="Q1885" s="535"/>
      <c r="R1885" s="535"/>
      <c r="S1885" s="535"/>
      <c r="T1885" s="535"/>
      <c r="U1885" s="535"/>
      <c r="V1885" s="23"/>
    </row>
    <row r="1886" spans="1:22" s="16" customFormat="1" ht="21.75" customHeight="1" x14ac:dyDescent="0.2">
      <c r="A1886" s="11"/>
      <c r="B1886" s="29"/>
      <c r="C1886" s="173" t="s">
        <v>153</v>
      </c>
      <c r="D1886" s="511" t="s">
        <v>203</v>
      </c>
      <c r="E1886" s="511"/>
      <c r="F1886" s="511"/>
      <c r="G1886" s="511"/>
      <c r="H1886" s="511"/>
      <c r="I1886" s="511"/>
      <c r="J1886" s="511"/>
      <c r="K1886" s="511"/>
      <c r="L1886" s="511"/>
      <c r="M1886" s="511"/>
      <c r="N1886" s="511"/>
      <c r="O1886" s="511"/>
      <c r="P1886" s="511"/>
      <c r="Q1886" s="511"/>
      <c r="R1886" s="511"/>
      <c r="S1886" s="511"/>
      <c r="T1886" s="511"/>
      <c r="U1886" s="511"/>
      <c r="V1886" s="23"/>
    </row>
    <row r="1887" spans="1:22" s="16" customFormat="1" ht="52.5" customHeight="1" x14ac:dyDescent="0.2">
      <c r="A1887" s="11"/>
      <c r="B1887" s="29"/>
      <c r="C1887" s="29"/>
      <c r="D1887" s="407" t="str">
        <f>"Akun ini menggambarkan realisasi Pendapatan Transfer  untuk periode Tahun Anggaran "&amp;'[1]2.ISIAN DATA SKPD'!D11&amp;" dan "&amp;'[1]2.ISIAN DATA SKPD'!D12&amp;" dengan rincian jumlah sebagai berikut :"</f>
        <v>Akun ini menggambarkan realisasi Pendapatan Transfer  untuk periode Tahun Anggaran 2018 dan 2017 dengan rincian jumlah sebagai berikut :</v>
      </c>
      <c r="E1887" s="407"/>
      <c r="F1887" s="407"/>
      <c r="G1887" s="407"/>
      <c r="H1887" s="407"/>
      <c r="I1887" s="407"/>
      <c r="J1887" s="407"/>
      <c r="K1887" s="407"/>
      <c r="L1887" s="407"/>
      <c r="M1887" s="407"/>
      <c r="N1887" s="407"/>
      <c r="O1887" s="407"/>
      <c r="P1887" s="407"/>
      <c r="Q1887" s="407"/>
      <c r="R1887" s="407"/>
      <c r="S1887" s="407"/>
      <c r="T1887" s="407"/>
      <c r="U1887" s="407"/>
      <c r="V1887" s="23"/>
    </row>
    <row r="1888" spans="1:22" s="16" customFormat="1" ht="18.75" customHeight="1" x14ac:dyDescent="0.2">
      <c r="A1888" s="11"/>
      <c r="B1888" s="29"/>
      <c r="C1888" s="29"/>
      <c r="D1888" s="77"/>
      <c r="E1888" s="77"/>
      <c r="F1888" s="77"/>
      <c r="G1888" s="77"/>
      <c r="H1888" s="77"/>
      <c r="I1888" s="77"/>
      <c r="J1888" s="77"/>
      <c r="K1888" s="77"/>
      <c r="L1888" s="77"/>
      <c r="M1888" s="77"/>
      <c r="N1888" s="77"/>
      <c r="O1888" s="77"/>
      <c r="P1888" s="77"/>
      <c r="Q1888" s="77"/>
      <c r="R1888" s="77"/>
      <c r="S1888" s="77"/>
      <c r="T1888" s="77"/>
      <c r="U1888" s="77"/>
      <c r="V1888" s="23"/>
    </row>
    <row r="1889" spans="1:32" s="16" customFormat="1" ht="21.75" customHeight="1" x14ac:dyDescent="0.2">
      <c r="A1889" s="425" t="s">
        <v>125</v>
      </c>
      <c r="B1889" s="426"/>
      <c r="C1889" s="426"/>
      <c r="D1889" s="426"/>
      <c r="E1889" s="426"/>
      <c r="F1889" s="426"/>
      <c r="G1889" s="426"/>
      <c r="H1889" s="427"/>
      <c r="I1889" s="425" t="str">
        <f>G1784</f>
        <v>TA 2018</v>
      </c>
      <c r="J1889" s="426"/>
      <c r="K1889" s="426"/>
      <c r="L1889" s="426"/>
      <c r="M1889" s="426"/>
      <c r="N1889" s="427"/>
      <c r="O1889" s="425" t="str">
        <f>M1784</f>
        <v>TA 2017</v>
      </c>
      <c r="P1889" s="426"/>
      <c r="Q1889" s="426"/>
      <c r="R1889" s="426"/>
      <c r="S1889" s="426"/>
      <c r="T1889" s="426"/>
      <c r="U1889" s="427"/>
      <c r="V1889" s="487"/>
      <c r="W1889" s="480"/>
      <c r="X1889" s="480"/>
      <c r="Y1889" s="471" t="s">
        <v>449</v>
      </c>
      <c r="Z1889" s="480"/>
      <c r="AA1889" s="480"/>
      <c r="AB1889" s="480"/>
      <c r="AC1889" s="488" t="s">
        <v>438</v>
      </c>
      <c r="AD1889" s="489"/>
      <c r="AE1889" s="489"/>
      <c r="AF1889" s="489"/>
    </row>
    <row r="1890" spans="1:32" s="16" customFormat="1" ht="31.5" customHeight="1" x14ac:dyDescent="0.2">
      <c r="A1890" s="529" t="s">
        <v>613</v>
      </c>
      <c r="B1890" s="530"/>
      <c r="C1890" s="530"/>
      <c r="D1890" s="530"/>
      <c r="E1890" s="530"/>
      <c r="F1890" s="530"/>
      <c r="G1890" s="530"/>
      <c r="H1890" s="531"/>
      <c r="I1890" s="505">
        <f>'[1]5.LO'!E85</f>
        <v>0</v>
      </c>
      <c r="J1890" s="506"/>
      <c r="K1890" s="506"/>
      <c r="L1890" s="506"/>
      <c r="M1890" s="506"/>
      <c r="N1890" s="507"/>
      <c r="O1890" s="508">
        <f>'[1]5.LO'!F85</f>
        <v>0</v>
      </c>
      <c r="P1890" s="509"/>
      <c r="Q1890" s="509"/>
      <c r="R1890" s="509"/>
      <c r="S1890" s="509"/>
      <c r="T1890" s="509"/>
      <c r="U1890" s="510"/>
      <c r="V1890" s="479"/>
      <c r="W1890" s="480"/>
      <c r="X1890" s="480"/>
      <c r="Y1890" s="471" t="e">
        <f>(R1890-B1890)/B1890*100</f>
        <v>#DIV/0!</v>
      </c>
      <c r="Z1890" s="480"/>
      <c r="AA1890" s="480"/>
      <c r="AB1890" s="480"/>
      <c r="AC1890" s="471">
        <f>R1890-B1890</f>
        <v>0</v>
      </c>
      <c r="AD1890" s="472"/>
      <c r="AE1890" s="472"/>
      <c r="AF1890" s="472"/>
    </row>
    <row r="1891" spans="1:32" s="16" customFormat="1" ht="33.75" customHeight="1" x14ac:dyDescent="0.2">
      <c r="A1891" s="526" t="s">
        <v>614</v>
      </c>
      <c r="B1891" s="527"/>
      <c r="C1891" s="527"/>
      <c r="D1891" s="527"/>
      <c r="E1891" s="527"/>
      <c r="F1891" s="527"/>
      <c r="G1891" s="527"/>
      <c r="H1891" s="528"/>
      <c r="I1891" s="505">
        <f>'[1]5.LO'!E120</f>
        <v>0</v>
      </c>
      <c r="J1891" s="506"/>
      <c r="K1891" s="506"/>
      <c r="L1891" s="506"/>
      <c r="M1891" s="506"/>
      <c r="N1891" s="507"/>
      <c r="O1891" s="508">
        <f>'[1]5.LO'!F120</f>
        <v>0</v>
      </c>
      <c r="P1891" s="509"/>
      <c r="Q1891" s="509"/>
      <c r="R1891" s="509"/>
      <c r="S1891" s="509"/>
      <c r="T1891" s="509"/>
      <c r="U1891" s="510"/>
      <c r="V1891" s="479"/>
      <c r="W1891" s="480"/>
      <c r="X1891" s="480"/>
      <c r="Y1891" s="471" t="e">
        <f>(R1891-B1891)/B1891*100</f>
        <v>#DIV/0!</v>
      </c>
      <c r="Z1891" s="480"/>
      <c r="AA1891" s="480"/>
      <c r="AB1891" s="480"/>
      <c r="AC1891" s="471">
        <f>R1891-B1891</f>
        <v>0</v>
      </c>
      <c r="AD1891" s="472"/>
      <c r="AE1891" s="472"/>
      <c r="AF1891" s="472"/>
    </row>
    <row r="1892" spans="1:32" s="16" customFormat="1" ht="26.25" customHeight="1" x14ac:dyDescent="0.2">
      <c r="A1892" s="523" t="s">
        <v>239</v>
      </c>
      <c r="B1892" s="524"/>
      <c r="C1892" s="524"/>
      <c r="D1892" s="524"/>
      <c r="E1892" s="524"/>
      <c r="F1892" s="524"/>
      <c r="G1892" s="524"/>
      <c r="H1892" s="525"/>
      <c r="I1892" s="505">
        <f>'[1]5.LO'!E123</f>
        <v>0</v>
      </c>
      <c r="J1892" s="506"/>
      <c r="K1892" s="506"/>
      <c r="L1892" s="506"/>
      <c r="M1892" s="506"/>
      <c r="N1892" s="507"/>
      <c r="O1892" s="508">
        <f>'[1]5.LO'!F123</f>
        <v>0</v>
      </c>
      <c r="P1892" s="509"/>
      <c r="Q1892" s="509"/>
      <c r="R1892" s="509"/>
      <c r="S1892" s="509"/>
      <c r="T1892" s="509"/>
      <c r="U1892" s="510"/>
      <c r="V1892" s="479"/>
      <c r="W1892" s="480"/>
      <c r="X1892" s="480"/>
      <c r="Y1892" s="471" t="e">
        <f>(R1892-B1892)/B1892*100</f>
        <v>#DIV/0!</v>
      </c>
      <c r="Z1892" s="480"/>
      <c r="AA1892" s="480"/>
      <c r="AB1892" s="480"/>
      <c r="AC1892" s="471">
        <f>R1892-B1892</f>
        <v>0</v>
      </c>
      <c r="AD1892" s="472"/>
      <c r="AE1892" s="472"/>
      <c r="AF1892" s="472"/>
    </row>
    <row r="1893" spans="1:32" s="16" customFormat="1" ht="21.75" customHeight="1" x14ac:dyDescent="0.2">
      <c r="A1893" s="497" t="s">
        <v>205</v>
      </c>
      <c r="B1893" s="498"/>
      <c r="C1893" s="498"/>
      <c r="D1893" s="498"/>
      <c r="E1893" s="498"/>
      <c r="F1893" s="498"/>
      <c r="G1893" s="498"/>
      <c r="H1893" s="499"/>
      <c r="I1893" s="494">
        <f>SUM(I1890:R1892)</f>
        <v>0</v>
      </c>
      <c r="J1893" s="495"/>
      <c r="K1893" s="495"/>
      <c r="L1893" s="495"/>
      <c r="M1893" s="495"/>
      <c r="N1893" s="496"/>
      <c r="O1893" s="494">
        <f>SUM(O1890:U1892)</f>
        <v>0</v>
      </c>
      <c r="P1893" s="495"/>
      <c r="Q1893" s="495"/>
      <c r="R1893" s="495"/>
      <c r="S1893" s="495"/>
      <c r="T1893" s="495"/>
      <c r="U1893" s="496"/>
      <c r="V1893" s="479"/>
      <c r="W1893" s="480"/>
      <c r="X1893" s="480"/>
      <c r="Y1893" s="471" t="e">
        <f>(R1893-B1893)/B1893*100</f>
        <v>#DIV/0!</v>
      </c>
      <c r="Z1893" s="480"/>
      <c r="AA1893" s="480"/>
      <c r="AB1893" s="480"/>
      <c r="AC1893" s="471">
        <f>R1893-B1893</f>
        <v>0</v>
      </c>
      <c r="AD1893" s="472"/>
      <c r="AE1893" s="472"/>
      <c r="AF1893" s="472"/>
    </row>
    <row r="1894" spans="1:32" s="16" customFormat="1" ht="37.5" customHeight="1" x14ac:dyDescent="0.2">
      <c r="A1894" s="11"/>
      <c r="B1894" s="29"/>
      <c r="C1894" s="29"/>
      <c r="D1894" s="407" t="str">
        <f>"Adapun rincian Pendapatan Transfer per "&amp;'[1]2.ISIAN DATA SKPD'!D8&amp;" sebagaimana berikut :"</f>
        <v>Adapun rincian Pendapatan Transfer per 31 Desember 2018 sebagaimana berikut :</v>
      </c>
      <c r="E1894" s="407"/>
      <c r="F1894" s="407"/>
      <c r="G1894" s="407"/>
      <c r="H1894" s="407"/>
      <c r="I1894" s="407"/>
      <c r="J1894" s="407"/>
      <c r="K1894" s="407"/>
      <c r="L1894" s="407"/>
      <c r="M1894" s="407"/>
      <c r="N1894" s="407"/>
      <c r="O1894" s="407"/>
      <c r="P1894" s="407"/>
      <c r="Q1894" s="407"/>
      <c r="R1894" s="407"/>
      <c r="S1894" s="407"/>
      <c r="T1894" s="407"/>
      <c r="U1894" s="407"/>
      <c r="V1894" s="23"/>
    </row>
    <row r="1895" spans="1:32" s="16" customFormat="1" ht="21.75" customHeight="1" x14ac:dyDescent="0.2">
      <c r="A1895" s="11"/>
      <c r="B1895" s="29"/>
      <c r="C1895" s="29"/>
      <c r="D1895" s="248" t="s">
        <v>209</v>
      </c>
      <c r="E1895" s="519" t="s">
        <v>615</v>
      </c>
      <c r="F1895" s="500"/>
      <c r="G1895" s="500"/>
      <c r="H1895" s="500"/>
      <c r="I1895" s="500"/>
      <c r="J1895" s="500"/>
      <c r="K1895" s="500"/>
      <c r="L1895" s="500"/>
      <c r="M1895" s="500"/>
      <c r="N1895" s="500"/>
      <c r="O1895" s="501"/>
      <c r="P1895" s="520" t="s">
        <v>205</v>
      </c>
      <c r="Q1895" s="521"/>
      <c r="R1895" s="521"/>
      <c r="S1895" s="521"/>
      <c r="T1895" s="521"/>
      <c r="U1895" s="522"/>
      <c r="V1895" s="23"/>
    </row>
    <row r="1896" spans="1:32" s="16" customFormat="1" ht="29.25" customHeight="1" x14ac:dyDescent="0.2">
      <c r="A1896" s="11"/>
      <c r="B1896" s="29"/>
      <c r="C1896" s="29"/>
      <c r="D1896" s="266">
        <v>1</v>
      </c>
      <c r="E1896" s="466" t="s">
        <v>616</v>
      </c>
      <c r="F1896" s="467"/>
      <c r="G1896" s="467"/>
      <c r="H1896" s="467"/>
      <c r="I1896" s="467"/>
      <c r="J1896" s="467"/>
      <c r="K1896" s="467"/>
      <c r="L1896" s="467"/>
      <c r="M1896" s="467"/>
      <c r="N1896" s="467"/>
      <c r="O1896" s="468"/>
      <c r="P1896" s="516">
        <f>'[1]5.LO'!E85</f>
        <v>0</v>
      </c>
      <c r="Q1896" s="517"/>
      <c r="R1896" s="517"/>
      <c r="S1896" s="517"/>
      <c r="T1896" s="517"/>
      <c r="U1896" s="518"/>
      <c r="V1896" s="23"/>
    </row>
    <row r="1897" spans="1:32" s="16" customFormat="1" ht="13.5" customHeight="1" x14ac:dyDescent="0.2">
      <c r="A1897" s="11"/>
      <c r="B1897" s="29"/>
      <c r="C1897" s="29"/>
      <c r="D1897" s="266"/>
      <c r="E1897" s="267" t="s">
        <v>617</v>
      </c>
      <c r="F1897" s="42"/>
      <c r="G1897" s="258"/>
      <c r="H1897" s="259"/>
      <c r="I1897" s="259"/>
      <c r="J1897" s="259"/>
      <c r="K1897" s="259"/>
      <c r="L1897" s="259"/>
      <c r="M1897" s="258"/>
      <c r="N1897" s="259"/>
      <c r="O1897" s="260"/>
      <c r="P1897" s="516">
        <f>'[1]5.LO'!E86</f>
        <v>0</v>
      </c>
      <c r="Q1897" s="517"/>
      <c r="R1897" s="517"/>
      <c r="S1897" s="517"/>
      <c r="T1897" s="517"/>
      <c r="U1897" s="518"/>
      <c r="V1897" s="23"/>
    </row>
    <row r="1898" spans="1:32" s="16" customFormat="1" ht="13.5" customHeight="1" x14ac:dyDescent="0.25">
      <c r="A1898" s="11"/>
      <c r="B1898" s="29"/>
      <c r="C1898" s="29"/>
      <c r="D1898" s="266"/>
      <c r="E1898" s="268" t="s">
        <v>618</v>
      </c>
      <c r="F1898" s="42"/>
      <c r="G1898" s="258"/>
      <c r="H1898" s="259"/>
      <c r="I1898" s="259"/>
      <c r="J1898" s="259"/>
      <c r="K1898" s="259"/>
      <c r="L1898" s="259"/>
      <c r="M1898" s="258"/>
      <c r="N1898" s="259"/>
      <c r="O1898" s="260"/>
      <c r="P1898" s="513">
        <f>'[1]5.LO'!E87</f>
        <v>0</v>
      </c>
      <c r="Q1898" s="514"/>
      <c r="R1898" s="514"/>
      <c r="S1898" s="514"/>
      <c r="T1898" s="514"/>
      <c r="U1898" s="515"/>
      <c r="V1898" s="23"/>
    </row>
    <row r="1899" spans="1:32" s="16" customFormat="1" ht="38.25" customHeight="1" x14ac:dyDescent="0.2">
      <c r="A1899" s="11"/>
      <c r="B1899" s="29"/>
      <c r="C1899" s="29"/>
      <c r="D1899" s="266"/>
      <c r="E1899" s="512" t="s">
        <v>619</v>
      </c>
      <c r="F1899" s="469"/>
      <c r="G1899" s="469"/>
      <c r="H1899" s="469"/>
      <c r="I1899" s="469"/>
      <c r="J1899" s="469"/>
      <c r="K1899" s="469"/>
      <c r="L1899" s="469"/>
      <c r="M1899" s="469"/>
      <c r="N1899" s="469"/>
      <c r="O1899" s="470"/>
      <c r="P1899" s="513">
        <f>'[1]5.LO'!E88</f>
        <v>0</v>
      </c>
      <c r="Q1899" s="514"/>
      <c r="R1899" s="514"/>
      <c r="S1899" s="514"/>
      <c r="T1899" s="514"/>
      <c r="U1899" s="515"/>
      <c r="V1899" s="23"/>
    </row>
    <row r="1900" spans="1:32" s="16" customFormat="1" ht="13.5" customHeight="1" x14ac:dyDescent="0.25">
      <c r="A1900" s="11"/>
      <c r="B1900" s="29"/>
      <c r="C1900" s="29"/>
      <c r="D1900" s="266"/>
      <c r="E1900" s="268" t="s">
        <v>620</v>
      </c>
      <c r="F1900" s="42"/>
      <c r="G1900" s="258"/>
      <c r="H1900" s="259"/>
      <c r="I1900" s="259"/>
      <c r="J1900" s="259"/>
      <c r="K1900" s="259"/>
      <c r="L1900" s="259"/>
      <c r="M1900" s="258"/>
      <c r="N1900" s="259"/>
      <c r="O1900" s="260"/>
      <c r="P1900" s="513">
        <v>0</v>
      </c>
      <c r="Q1900" s="514"/>
      <c r="R1900" s="514"/>
      <c r="S1900" s="514"/>
      <c r="T1900" s="514"/>
      <c r="U1900" s="515"/>
      <c r="V1900" s="23"/>
    </row>
    <row r="1901" spans="1:32" s="16" customFormat="1" ht="13.5" customHeight="1" x14ac:dyDescent="0.2">
      <c r="A1901" s="11"/>
      <c r="B1901" s="29"/>
      <c r="C1901" s="29"/>
      <c r="D1901" s="266"/>
      <c r="E1901" s="267" t="s">
        <v>621</v>
      </c>
      <c r="F1901" s="42"/>
      <c r="G1901" s="258"/>
      <c r="H1901" s="259"/>
      <c r="I1901" s="259"/>
      <c r="J1901" s="259"/>
      <c r="K1901" s="259"/>
      <c r="L1901" s="259"/>
      <c r="M1901" s="258"/>
      <c r="N1901" s="259"/>
      <c r="O1901" s="260"/>
      <c r="P1901" s="516">
        <f>'[1]5.LO'!E90</f>
        <v>0</v>
      </c>
      <c r="Q1901" s="517"/>
      <c r="R1901" s="517"/>
      <c r="S1901" s="517"/>
      <c r="T1901" s="517"/>
      <c r="U1901" s="518"/>
      <c r="V1901" s="23"/>
    </row>
    <row r="1902" spans="1:32" s="16" customFormat="1" ht="13.5" customHeight="1" x14ac:dyDescent="0.25">
      <c r="A1902" s="11"/>
      <c r="B1902" s="29"/>
      <c r="C1902" s="29"/>
      <c r="D1902" s="266"/>
      <c r="E1902" s="268" t="s">
        <v>622</v>
      </c>
      <c r="F1902" s="42"/>
      <c r="G1902" s="258"/>
      <c r="H1902" s="259"/>
      <c r="I1902" s="259"/>
      <c r="J1902" s="259"/>
      <c r="K1902" s="259"/>
      <c r="L1902" s="259"/>
      <c r="M1902" s="258"/>
      <c r="N1902" s="259"/>
      <c r="O1902" s="260"/>
      <c r="P1902" s="513">
        <f>'[1]5.LO'!E91</f>
        <v>0</v>
      </c>
      <c r="Q1902" s="514"/>
      <c r="R1902" s="514"/>
      <c r="S1902" s="514"/>
      <c r="T1902" s="514"/>
      <c r="U1902" s="515"/>
      <c r="V1902" s="23"/>
    </row>
    <row r="1903" spans="1:32" s="16" customFormat="1" ht="13.5" customHeight="1" x14ac:dyDescent="0.25">
      <c r="A1903" s="11"/>
      <c r="B1903" s="29"/>
      <c r="C1903" s="29"/>
      <c r="D1903" s="266"/>
      <c r="E1903" s="268" t="s">
        <v>623</v>
      </c>
      <c r="F1903" s="42"/>
      <c r="G1903" s="258"/>
      <c r="H1903" s="259"/>
      <c r="I1903" s="259"/>
      <c r="J1903" s="259"/>
      <c r="K1903" s="259"/>
      <c r="L1903" s="259"/>
      <c r="M1903" s="258"/>
      <c r="N1903" s="259"/>
      <c r="O1903" s="260"/>
      <c r="P1903" s="513">
        <f>'[1]5.LO'!E92</f>
        <v>0</v>
      </c>
      <c r="Q1903" s="514"/>
      <c r="R1903" s="514"/>
      <c r="S1903" s="514"/>
      <c r="T1903" s="514"/>
      <c r="U1903" s="515"/>
      <c r="V1903" s="23"/>
    </row>
    <row r="1904" spans="1:32" s="16" customFormat="1" ht="13.5" customHeight="1" x14ac:dyDescent="0.25">
      <c r="A1904" s="11"/>
      <c r="B1904" s="29"/>
      <c r="C1904" s="29"/>
      <c r="D1904" s="266"/>
      <c r="E1904" s="268" t="s">
        <v>624</v>
      </c>
      <c r="F1904" s="42"/>
      <c r="G1904" s="258"/>
      <c r="H1904" s="259"/>
      <c r="I1904" s="259"/>
      <c r="J1904" s="259"/>
      <c r="K1904" s="259"/>
      <c r="L1904" s="259"/>
      <c r="M1904" s="258"/>
      <c r="N1904" s="259"/>
      <c r="O1904" s="260"/>
      <c r="P1904" s="513">
        <f>'[1]5.LO'!E93</f>
        <v>0</v>
      </c>
      <c r="Q1904" s="514"/>
      <c r="R1904" s="514"/>
      <c r="S1904" s="514"/>
      <c r="T1904" s="514"/>
      <c r="U1904" s="515"/>
      <c r="V1904" s="23"/>
    </row>
    <row r="1905" spans="1:22" s="16" customFormat="1" ht="13.5" customHeight="1" x14ac:dyDescent="0.25">
      <c r="A1905" s="11"/>
      <c r="B1905" s="29"/>
      <c r="C1905" s="29"/>
      <c r="D1905" s="266"/>
      <c r="E1905" s="268" t="s">
        <v>625</v>
      </c>
      <c r="F1905" s="42"/>
      <c r="G1905" s="258"/>
      <c r="H1905" s="259"/>
      <c r="I1905" s="259"/>
      <c r="J1905" s="259"/>
      <c r="K1905" s="259"/>
      <c r="L1905" s="259"/>
      <c r="M1905" s="258"/>
      <c r="N1905" s="259"/>
      <c r="O1905" s="260"/>
      <c r="P1905" s="513">
        <f>'[1]5.LO'!E94</f>
        <v>0</v>
      </c>
      <c r="Q1905" s="514"/>
      <c r="R1905" s="514"/>
      <c r="S1905" s="514"/>
      <c r="T1905" s="514"/>
      <c r="U1905" s="515"/>
      <c r="V1905" s="23"/>
    </row>
    <row r="1906" spans="1:22" s="16" customFormat="1" ht="13.5" customHeight="1" x14ac:dyDescent="0.25">
      <c r="A1906" s="11"/>
      <c r="B1906" s="29"/>
      <c r="C1906" s="29"/>
      <c r="D1906" s="266"/>
      <c r="E1906" s="268" t="s">
        <v>626</v>
      </c>
      <c r="F1906" s="42"/>
      <c r="G1906" s="258"/>
      <c r="H1906" s="259"/>
      <c r="I1906" s="259"/>
      <c r="J1906" s="259"/>
      <c r="K1906" s="259"/>
      <c r="L1906" s="259"/>
      <c r="M1906" s="258"/>
      <c r="N1906" s="259"/>
      <c r="O1906" s="260"/>
      <c r="P1906" s="513">
        <f>'[1]5.LO'!E95</f>
        <v>0</v>
      </c>
      <c r="Q1906" s="514"/>
      <c r="R1906" s="514"/>
      <c r="S1906" s="514"/>
      <c r="T1906" s="514"/>
      <c r="U1906" s="515"/>
      <c r="V1906" s="23"/>
    </row>
    <row r="1907" spans="1:22" s="16" customFormat="1" ht="13.5" customHeight="1" x14ac:dyDescent="0.25">
      <c r="A1907" s="11"/>
      <c r="B1907" s="29"/>
      <c r="C1907" s="29"/>
      <c r="D1907" s="266"/>
      <c r="E1907" s="268" t="s">
        <v>620</v>
      </c>
      <c r="F1907" s="42"/>
      <c r="G1907" s="251"/>
      <c r="H1907" s="252"/>
      <c r="I1907" s="252"/>
      <c r="J1907" s="252"/>
      <c r="K1907" s="252"/>
      <c r="L1907" s="252"/>
      <c r="M1907" s="251"/>
      <c r="N1907" s="252"/>
      <c r="O1907" s="253"/>
      <c r="P1907" s="513">
        <f>'[1]5.LO'!E96</f>
        <v>0</v>
      </c>
      <c r="Q1907" s="514"/>
      <c r="R1907" s="514"/>
      <c r="S1907" s="514"/>
      <c r="T1907" s="514"/>
      <c r="U1907" s="515"/>
      <c r="V1907" s="23"/>
    </row>
    <row r="1908" spans="1:22" s="16" customFormat="1" ht="13.5" customHeight="1" x14ac:dyDescent="0.25">
      <c r="A1908" s="11"/>
      <c r="B1908" s="29"/>
      <c r="C1908" s="29"/>
      <c r="D1908" s="266"/>
      <c r="E1908" s="268" t="s">
        <v>627</v>
      </c>
      <c r="F1908" s="42"/>
      <c r="G1908" s="258"/>
      <c r="H1908" s="259"/>
      <c r="I1908" s="259"/>
      <c r="J1908" s="259"/>
      <c r="K1908" s="259"/>
      <c r="L1908" s="259"/>
      <c r="M1908" s="258"/>
      <c r="N1908" s="259"/>
      <c r="O1908" s="260"/>
      <c r="P1908" s="513">
        <f>'[1]5.LO'!E97</f>
        <v>0</v>
      </c>
      <c r="Q1908" s="514"/>
      <c r="R1908" s="514"/>
      <c r="S1908" s="514"/>
      <c r="T1908" s="514"/>
      <c r="U1908" s="515"/>
      <c r="V1908" s="23"/>
    </row>
    <row r="1909" spans="1:22" s="16" customFormat="1" ht="13.5" customHeight="1" x14ac:dyDescent="0.2">
      <c r="A1909" s="11"/>
      <c r="B1909" s="29"/>
      <c r="C1909" s="29"/>
      <c r="D1909" s="269"/>
      <c r="E1909" s="267" t="s">
        <v>628</v>
      </c>
      <c r="F1909" s="42"/>
      <c r="G1909" s="258"/>
      <c r="H1909" s="259"/>
      <c r="I1909" s="259"/>
      <c r="J1909" s="259"/>
      <c r="K1909" s="259"/>
      <c r="L1909" s="259"/>
      <c r="M1909" s="258"/>
      <c r="N1909" s="259"/>
      <c r="O1909" s="260"/>
      <c r="P1909" s="516">
        <f>'[1]5.LO'!E98</f>
        <v>0</v>
      </c>
      <c r="Q1909" s="517"/>
      <c r="R1909" s="517"/>
      <c r="S1909" s="517"/>
      <c r="T1909" s="517"/>
      <c r="U1909" s="518"/>
      <c r="V1909" s="23"/>
    </row>
    <row r="1910" spans="1:22" s="16" customFormat="1" ht="13.5" customHeight="1" x14ac:dyDescent="0.25">
      <c r="A1910" s="11"/>
      <c r="B1910" s="29"/>
      <c r="C1910" s="29"/>
      <c r="D1910" s="269"/>
      <c r="E1910" s="268" t="s">
        <v>628</v>
      </c>
      <c r="F1910" s="42"/>
      <c r="G1910" s="258"/>
      <c r="H1910" s="259"/>
      <c r="I1910" s="259"/>
      <c r="J1910" s="259"/>
      <c r="K1910" s="259"/>
      <c r="L1910" s="259"/>
      <c r="M1910" s="258"/>
      <c r="N1910" s="259"/>
      <c r="O1910" s="260"/>
      <c r="P1910" s="513">
        <f>'[1]5.LO'!E99</f>
        <v>0</v>
      </c>
      <c r="Q1910" s="514"/>
      <c r="R1910" s="514"/>
      <c r="S1910" s="514"/>
      <c r="T1910" s="514"/>
      <c r="U1910" s="515"/>
      <c r="V1910" s="23"/>
    </row>
    <row r="1911" spans="1:22" s="16" customFormat="1" ht="13.5" customHeight="1" x14ac:dyDescent="0.2">
      <c r="A1911" s="11"/>
      <c r="B1911" s="29"/>
      <c r="C1911" s="29"/>
      <c r="D1911" s="269"/>
      <c r="E1911" s="267" t="s">
        <v>629</v>
      </c>
      <c r="F1911" s="42"/>
      <c r="G1911" s="258"/>
      <c r="H1911" s="259"/>
      <c r="I1911" s="259"/>
      <c r="J1911" s="259"/>
      <c r="K1911" s="259"/>
      <c r="L1911" s="259"/>
      <c r="M1911" s="258"/>
      <c r="N1911" s="259"/>
      <c r="O1911" s="260"/>
      <c r="P1911" s="516">
        <f>'[1]5.LO'!E100</f>
        <v>0</v>
      </c>
      <c r="Q1911" s="517"/>
      <c r="R1911" s="517"/>
      <c r="S1911" s="517"/>
      <c r="T1911" s="517"/>
      <c r="U1911" s="518"/>
      <c r="V1911" s="23"/>
    </row>
    <row r="1912" spans="1:22" s="16" customFormat="1" ht="13.5" customHeight="1" x14ac:dyDescent="0.2">
      <c r="A1912" s="11"/>
      <c r="B1912" s="29"/>
      <c r="C1912" s="29"/>
      <c r="D1912" s="269"/>
      <c r="E1912" s="267" t="s">
        <v>630</v>
      </c>
      <c r="F1912" s="42"/>
      <c r="G1912" s="258"/>
      <c r="H1912" s="259"/>
      <c r="I1912" s="259"/>
      <c r="J1912" s="259"/>
      <c r="K1912" s="259"/>
      <c r="L1912" s="259"/>
      <c r="M1912" s="258"/>
      <c r="N1912" s="259"/>
      <c r="O1912" s="260"/>
      <c r="P1912" s="516">
        <f>'[1]5.LO'!E101</f>
        <v>0</v>
      </c>
      <c r="Q1912" s="517"/>
      <c r="R1912" s="517"/>
      <c r="S1912" s="517"/>
      <c r="T1912" s="517"/>
      <c r="U1912" s="518"/>
      <c r="V1912" s="23"/>
    </row>
    <row r="1913" spans="1:22" s="16" customFormat="1" ht="13.5" customHeight="1" x14ac:dyDescent="0.25">
      <c r="A1913" s="11"/>
      <c r="B1913" s="29"/>
      <c r="C1913" s="29"/>
      <c r="D1913" s="269"/>
      <c r="E1913" s="268" t="s">
        <v>631</v>
      </c>
      <c r="F1913" s="42"/>
      <c r="G1913" s="258"/>
      <c r="H1913" s="259"/>
      <c r="I1913" s="259"/>
      <c r="J1913" s="259"/>
      <c r="K1913" s="259"/>
      <c r="L1913" s="259"/>
      <c r="M1913" s="258"/>
      <c r="N1913" s="259"/>
      <c r="O1913" s="260"/>
      <c r="P1913" s="513">
        <f>'[1]5.LO'!E102</f>
        <v>0</v>
      </c>
      <c r="Q1913" s="514"/>
      <c r="R1913" s="514"/>
      <c r="S1913" s="514"/>
      <c r="T1913" s="514"/>
      <c r="U1913" s="515"/>
      <c r="V1913" s="23"/>
    </row>
    <row r="1914" spans="1:22" s="16" customFormat="1" ht="13.5" customHeight="1" x14ac:dyDescent="0.25">
      <c r="A1914" s="11"/>
      <c r="B1914" s="29"/>
      <c r="C1914" s="29"/>
      <c r="D1914" s="269"/>
      <c r="E1914" s="268" t="s">
        <v>632</v>
      </c>
      <c r="F1914" s="42"/>
      <c r="G1914" s="258"/>
      <c r="H1914" s="259"/>
      <c r="I1914" s="259"/>
      <c r="J1914" s="259"/>
      <c r="K1914" s="259"/>
      <c r="L1914" s="259"/>
      <c r="M1914" s="258"/>
      <c r="N1914" s="259"/>
      <c r="O1914" s="260"/>
      <c r="P1914" s="513">
        <f>'[1]5.LO'!E103</f>
        <v>0</v>
      </c>
      <c r="Q1914" s="514"/>
      <c r="R1914" s="514"/>
      <c r="S1914" s="514"/>
      <c r="T1914" s="514"/>
      <c r="U1914" s="515"/>
      <c r="V1914" s="23"/>
    </row>
    <row r="1915" spans="1:22" s="16" customFormat="1" ht="13.5" customHeight="1" x14ac:dyDescent="0.25">
      <c r="A1915" s="11"/>
      <c r="B1915" s="29"/>
      <c r="C1915" s="29"/>
      <c r="D1915" s="269"/>
      <c r="E1915" s="268" t="s">
        <v>633</v>
      </c>
      <c r="F1915" s="42"/>
      <c r="G1915" s="258"/>
      <c r="H1915" s="259"/>
      <c r="I1915" s="259"/>
      <c r="J1915" s="259"/>
      <c r="K1915" s="259"/>
      <c r="L1915" s="259"/>
      <c r="M1915" s="258"/>
      <c r="N1915" s="259"/>
      <c r="O1915" s="260"/>
      <c r="P1915" s="513">
        <f>'[1]5.LO'!E104</f>
        <v>0</v>
      </c>
      <c r="Q1915" s="514"/>
      <c r="R1915" s="514"/>
      <c r="S1915" s="514"/>
      <c r="T1915" s="514"/>
      <c r="U1915" s="515"/>
      <c r="V1915" s="23"/>
    </row>
    <row r="1916" spans="1:22" s="16" customFormat="1" ht="13.5" customHeight="1" x14ac:dyDescent="0.25">
      <c r="A1916" s="11"/>
      <c r="B1916" s="29"/>
      <c r="C1916" s="29"/>
      <c r="D1916" s="270"/>
      <c r="E1916" s="268" t="s">
        <v>634</v>
      </c>
      <c r="F1916" s="42"/>
      <c r="G1916" s="258"/>
      <c r="H1916" s="259"/>
      <c r="I1916" s="259"/>
      <c r="J1916" s="259"/>
      <c r="K1916" s="259"/>
      <c r="L1916" s="259"/>
      <c r="M1916" s="258"/>
      <c r="N1916" s="259"/>
      <c r="O1916" s="260"/>
      <c r="P1916" s="513">
        <f>'[1]5.LO'!E105</f>
        <v>0</v>
      </c>
      <c r="Q1916" s="514"/>
      <c r="R1916" s="514"/>
      <c r="S1916" s="514"/>
      <c r="T1916" s="514"/>
      <c r="U1916" s="515"/>
      <c r="V1916" s="23"/>
    </row>
    <row r="1917" spans="1:22" s="16" customFormat="1" ht="13.5" customHeight="1" x14ac:dyDescent="0.25">
      <c r="A1917" s="11"/>
      <c r="B1917" s="29"/>
      <c r="C1917" s="29"/>
      <c r="D1917" s="269"/>
      <c r="E1917" s="268" t="s">
        <v>635</v>
      </c>
      <c r="F1917" s="42"/>
      <c r="G1917" s="258"/>
      <c r="H1917" s="259"/>
      <c r="I1917" s="259"/>
      <c r="J1917" s="259"/>
      <c r="K1917" s="259"/>
      <c r="L1917" s="259"/>
      <c r="M1917" s="258"/>
      <c r="N1917" s="259"/>
      <c r="O1917" s="260"/>
      <c r="P1917" s="513">
        <f>'[1]5.LO'!E106</f>
        <v>0</v>
      </c>
      <c r="Q1917" s="514"/>
      <c r="R1917" s="514"/>
      <c r="S1917" s="514"/>
      <c r="T1917" s="514"/>
      <c r="U1917" s="515"/>
      <c r="V1917" s="23"/>
    </row>
    <row r="1918" spans="1:22" s="16" customFormat="1" ht="13.5" customHeight="1" x14ac:dyDescent="0.25">
      <c r="A1918" s="11"/>
      <c r="B1918" s="29"/>
      <c r="C1918" s="29"/>
      <c r="D1918" s="269"/>
      <c r="E1918" s="268" t="s">
        <v>636</v>
      </c>
      <c r="F1918" s="42"/>
      <c r="G1918" s="258"/>
      <c r="H1918" s="259"/>
      <c r="I1918" s="259"/>
      <c r="J1918" s="259"/>
      <c r="K1918" s="259"/>
      <c r="L1918" s="259"/>
      <c r="M1918" s="258"/>
      <c r="N1918" s="259"/>
      <c r="O1918" s="260"/>
      <c r="P1918" s="513">
        <f>'[1]5.LO'!E107</f>
        <v>0</v>
      </c>
      <c r="Q1918" s="514"/>
      <c r="R1918" s="514"/>
      <c r="S1918" s="514"/>
      <c r="T1918" s="514"/>
      <c r="U1918" s="515"/>
      <c r="V1918" s="23"/>
    </row>
    <row r="1919" spans="1:22" s="16" customFormat="1" ht="13.5" customHeight="1" x14ac:dyDescent="0.25">
      <c r="A1919" s="11"/>
      <c r="B1919" s="29"/>
      <c r="C1919" s="29"/>
      <c r="D1919" s="269"/>
      <c r="E1919" s="268" t="s">
        <v>637</v>
      </c>
      <c r="F1919" s="42"/>
      <c r="G1919" s="258"/>
      <c r="H1919" s="259"/>
      <c r="I1919" s="259"/>
      <c r="J1919" s="259"/>
      <c r="K1919" s="259"/>
      <c r="L1919" s="259"/>
      <c r="M1919" s="258"/>
      <c r="N1919" s="259"/>
      <c r="O1919" s="260"/>
      <c r="P1919" s="513">
        <f>'[1]5.LO'!E108</f>
        <v>0</v>
      </c>
      <c r="Q1919" s="514"/>
      <c r="R1919" s="514"/>
      <c r="S1919" s="514"/>
      <c r="T1919" s="514"/>
      <c r="U1919" s="515"/>
      <c r="V1919" s="23"/>
    </row>
    <row r="1920" spans="1:22" s="16" customFormat="1" ht="13.5" customHeight="1" x14ac:dyDescent="0.25">
      <c r="A1920" s="11"/>
      <c r="B1920" s="29"/>
      <c r="C1920" s="29"/>
      <c r="D1920" s="269"/>
      <c r="E1920" s="268" t="s">
        <v>638</v>
      </c>
      <c r="F1920" s="42"/>
      <c r="G1920" s="258"/>
      <c r="H1920" s="259"/>
      <c r="I1920" s="259"/>
      <c r="J1920" s="259"/>
      <c r="K1920" s="259"/>
      <c r="L1920" s="259"/>
      <c r="M1920" s="258"/>
      <c r="N1920" s="259"/>
      <c r="O1920" s="260"/>
      <c r="P1920" s="513">
        <f>'[1]5.LO'!E109</f>
        <v>0</v>
      </c>
      <c r="Q1920" s="514"/>
      <c r="R1920" s="514"/>
      <c r="S1920" s="514"/>
      <c r="T1920" s="514"/>
      <c r="U1920" s="515"/>
      <c r="V1920" s="23"/>
    </row>
    <row r="1921" spans="1:22" s="16" customFormat="1" ht="13.5" customHeight="1" x14ac:dyDescent="0.25">
      <c r="A1921" s="11"/>
      <c r="B1921" s="29"/>
      <c r="C1921" s="29"/>
      <c r="D1921" s="269"/>
      <c r="E1921" s="268" t="s">
        <v>639</v>
      </c>
      <c r="F1921" s="42"/>
      <c r="G1921" s="258"/>
      <c r="H1921" s="259"/>
      <c r="I1921" s="259"/>
      <c r="J1921" s="259"/>
      <c r="K1921" s="259"/>
      <c r="L1921" s="259"/>
      <c r="M1921" s="258"/>
      <c r="N1921" s="259"/>
      <c r="O1921" s="260"/>
      <c r="P1921" s="513">
        <f>'[1]5.LO'!E110</f>
        <v>0</v>
      </c>
      <c r="Q1921" s="514"/>
      <c r="R1921" s="514"/>
      <c r="S1921" s="514"/>
      <c r="T1921" s="514"/>
      <c r="U1921" s="515"/>
      <c r="V1921" s="23"/>
    </row>
    <row r="1922" spans="1:22" s="16" customFormat="1" ht="13.5" customHeight="1" x14ac:dyDescent="0.25">
      <c r="A1922" s="11"/>
      <c r="B1922" s="29"/>
      <c r="C1922" s="29"/>
      <c r="D1922" s="269"/>
      <c r="E1922" s="268" t="s">
        <v>640</v>
      </c>
      <c r="F1922" s="42"/>
      <c r="G1922" s="258"/>
      <c r="H1922" s="259"/>
      <c r="I1922" s="259"/>
      <c r="J1922" s="259"/>
      <c r="K1922" s="259"/>
      <c r="L1922" s="259"/>
      <c r="M1922" s="258"/>
      <c r="N1922" s="259"/>
      <c r="O1922" s="260"/>
      <c r="P1922" s="513">
        <f>'[1]5.LO'!E111</f>
        <v>0</v>
      </c>
      <c r="Q1922" s="514"/>
      <c r="R1922" s="514"/>
      <c r="S1922" s="514"/>
      <c r="T1922" s="514"/>
      <c r="U1922" s="515"/>
      <c r="V1922" s="23"/>
    </row>
    <row r="1923" spans="1:22" s="16" customFormat="1" ht="13.5" customHeight="1" x14ac:dyDescent="0.2">
      <c r="A1923" s="11"/>
      <c r="B1923" s="29"/>
      <c r="C1923" s="29"/>
      <c r="D1923" s="269"/>
      <c r="E1923" s="267" t="s">
        <v>641</v>
      </c>
      <c r="F1923" s="42"/>
      <c r="G1923" s="258"/>
      <c r="H1923" s="259"/>
      <c r="I1923" s="259"/>
      <c r="J1923" s="259"/>
      <c r="K1923" s="259"/>
      <c r="L1923" s="259"/>
      <c r="M1923" s="258"/>
      <c r="N1923" s="259"/>
      <c r="O1923" s="260"/>
      <c r="P1923" s="516">
        <f>'[1]5.LO'!E112</f>
        <v>0</v>
      </c>
      <c r="Q1923" s="517"/>
      <c r="R1923" s="517"/>
      <c r="S1923" s="517"/>
      <c r="T1923" s="517"/>
      <c r="U1923" s="518"/>
      <c r="V1923" s="23"/>
    </row>
    <row r="1924" spans="1:22" s="16" customFormat="1" ht="13.5" customHeight="1" x14ac:dyDescent="0.25">
      <c r="A1924" s="11"/>
      <c r="B1924" s="29"/>
      <c r="C1924" s="29"/>
      <c r="D1924" s="266"/>
      <c r="E1924" s="268" t="s">
        <v>642</v>
      </c>
      <c r="F1924" s="42"/>
      <c r="G1924" s="258"/>
      <c r="H1924" s="259"/>
      <c r="I1924" s="259"/>
      <c r="J1924" s="259"/>
      <c r="K1924" s="259"/>
      <c r="L1924" s="259"/>
      <c r="M1924" s="258"/>
      <c r="N1924" s="259"/>
      <c r="O1924" s="260"/>
      <c r="P1924" s="513">
        <f>'[1]5.LO'!E113</f>
        <v>0</v>
      </c>
      <c r="Q1924" s="514"/>
      <c r="R1924" s="514"/>
      <c r="S1924" s="514"/>
      <c r="T1924" s="514"/>
      <c r="U1924" s="515"/>
      <c r="V1924" s="23"/>
    </row>
    <row r="1925" spans="1:22" s="16" customFormat="1" ht="13.5" customHeight="1" x14ac:dyDescent="0.25">
      <c r="A1925" s="11"/>
      <c r="B1925" s="29"/>
      <c r="C1925" s="29"/>
      <c r="D1925" s="269"/>
      <c r="E1925" s="268" t="s">
        <v>643</v>
      </c>
      <c r="F1925" s="42"/>
      <c r="G1925" s="258"/>
      <c r="H1925" s="259"/>
      <c r="I1925" s="259"/>
      <c r="J1925" s="259"/>
      <c r="K1925" s="259"/>
      <c r="L1925" s="259"/>
      <c r="M1925" s="258"/>
      <c r="N1925" s="259"/>
      <c r="O1925" s="260"/>
      <c r="P1925" s="513">
        <f>'[1]5.LO'!E114</f>
        <v>0</v>
      </c>
      <c r="Q1925" s="514"/>
      <c r="R1925" s="514"/>
      <c r="S1925" s="514"/>
      <c r="T1925" s="514"/>
      <c r="U1925" s="515"/>
      <c r="V1925" s="23"/>
    </row>
    <row r="1926" spans="1:22" s="16" customFormat="1" ht="13.5" customHeight="1" x14ac:dyDescent="0.25">
      <c r="A1926" s="11"/>
      <c r="B1926" s="29"/>
      <c r="C1926" s="29"/>
      <c r="D1926" s="269"/>
      <c r="E1926" s="268" t="s">
        <v>644</v>
      </c>
      <c r="F1926" s="42"/>
      <c r="G1926" s="258"/>
      <c r="H1926" s="259"/>
      <c r="I1926" s="259"/>
      <c r="J1926" s="259"/>
      <c r="K1926" s="259"/>
      <c r="L1926" s="259"/>
      <c r="M1926" s="258"/>
      <c r="N1926" s="259"/>
      <c r="O1926" s="260"/>
      <c r="P1926" s="513">
        <f>'[1]5.LO'!E115</f>
        <v>0</v>
      </c>
      <c r="Q1926" s="514"/>
      <c r="R1926" s="514"/>
      <c r="S1926" s="514"/>
      <c r="T1926" s="514"/>
      <c r="U1926" s="515"/>
      <c r="V1926" s="23"/>
    </row>
    <row r="1927" spans="1:22" s="16" customFormat="1" ht="13.5" customHeight="1" x14ac:dyDescent="0.25">
      <c r="A1927" s="11"/>
      <c r="B1927" s="29"/>
      <c r="C1927" s="29"/>
      <c r="D1927" s="269"/>
      <c r="E1927" s="268" t="s">
        <v>645</v>
      </c>
      <c r="F1927" s="42"/>
      <c r="G1927" s="258"/>
      <c r="H1927" s="259"/>
      <c r="I1927" s="259"/>
      <c r="J1927" s="259"/>
      <c r="K1927" s="259"/>
      <c r="L1927" s="259"/>
      <c r="M1927" s="258"/>
      <c r="N1927" s="259"/>
      <c r="O1927" s="260"/>
      <c r="P1927" s="513">
        <f>'[1]5.LO'!E116</f>
        <v>0</v>
      </c>
      <c r="Q1927" s="514"/>
      <c r="R1927" s="514"/>
      <c r="S1927" s="514"/>
      <c r="T1927" s="514"/>
      <c r="U1927" s="515"/>
      <c r="V1927" s="23"/>
    </row>
    <row r="1928" spans="1:22" s="16" customFormat="1" ht="13.5" customHeight="1" x14ac:dyDescent="0.25">
      <c r="A1928" s="11"/>
      <c r="B1928" s="29"/>
      <c r="C1928" s="29"/>
      <c r="D1928" s="266"/>
      <c r="E1928" s="268" t="s">
        <v>646</v>
      </c>
      <c r="F1928" s="42"/>
      <c r="G1928" s="251"/>
      <c r="H1928" s="252"/>
      <c r="I1928" s="252"/>
      <c r="J1928" s="252"/>
      <c r="K1928" s="252"/>
      <c r="L1928" s="252"/>
      <c r="M1928" s="251"/>
      <c r="N1928" s="252"/>
      <c r="O1928" s="253"/>
      <c r="P1928" s="513">
        <f>'[1]5.LO'!E117</f>
        <v>0</v>
      </c>
      <c r="Q1928" s="514"/>
      <c r="R1928" s="514"/>
      <c r="S1928" s="514"/>
      <c r="T1928" s="514"/>
      <c r="U1928" s="515"/>
      <c r="V1928" s="23"/>
    </row>
    <row r="1929" spans="1:22" s="16" customFormat="1" ht="13.5" customHeight="1" x14ac:dyDescent="0.25">
      <c r="A1929" s="11"/>
      <c r="B1929" s="29"/>
      <c r="C1929" s="29"/>
      <c r="D1929" s="266"/>
      <c r="E1929" s="268" t="s">
        <v>647</v>
      </c>
      <c r="F1929" s="42"/>
      <c r="G1929" s="258"/>
      <c r="H1929" s="259"/>
      <c r="I1929" s="259"/>
      <c r="J1929" s="259"/>
      <c r="K1929" s="259"/>
      <c r="L1929" s="259"/>
      <c r="M1929" s="258"/>
      <c r="N1929" s="259"/>
      <c r="O1929" s="260"/>
      <c r="P1929" s="513">
        <f>'[1]5.LO'!E118</f>
        <v>0</v>
      </c>
      <c r="Q1929" s="514"/>
      <c r="R1929" s="514"/>
      <c r="S1929" s="514"/>
      <c r="T1929" s="514"/>
      <c r="U1929" s="515"/>
      <c r="V1929" s="23"/>
    </row>
    <row r="1930" spans="1:22" s="16" customFormat="1" ht="13.5" customHeight="1" x14ac:dyDescent="0.25">
      <c r="A1930" s="11"/>
      <c r="B1930" s="29"/>
      <c r="C1930" s="29"/>
      <c r="D1930" s="269"/>
      <c r="E1930" s="268" t="s">
        <v>648</v>
      </c>
      <c r="F1930" s="42"/>
      <c r="G1930" s="258"/>
      <c r="H1930" s="259"/>
      <c r="I1930" s="259"/>
      <c r="J1930" s="259"/>
      <c r="K1930" s="259"/>
      <c r="L1930" s="259"/>
      <c r="M1930" s="258"/>
      <c r="N1930" s="259"/>
      <c r="O1930" s="260"/>
      <c r="P1930" s="513">
        <f>'[1]5.LO'!E119</f>
        <v>0</v>
      </c>
      <c r="Q1930" s="514"/>
      <c r="R1930" s="514"/>
      <c r="S1930" s="514"/>
      <c r="T1930" s="514"/>
      <c r="U1930" s="515"/>
      <c r="V1930" s="23"/>
    </row>
    <row r="1931" spans="1:22" s="16" customFormat="1" ht="13.5" customHeight="1" x14ac:dyDescent="0.2">
      <c r="A1931" s="11"/>
      <c r="B1931" s="29"/>
      <c r="C1931" s="29"/>
      <c r="D1931" s="269">
        <v>2</v>
      </c>
      <c r="E1931" s="267" t="s">
        <v>649</v>
      </c>
      <c r="F1931" s="267"/>
      <c r="G1931" s="258"/>
      <c r="H1931" s="259"/>
      <c r="I1931" s="259"/>
      <c r="J1931" s="259"/>
      <c r="K1931" s="259"/>
      <c r="L1931" s="259"/>
      <c r="M1931" s="258"/>
      <c r="N1931" s="259"/>
      <c r="O1931" s="260"/>
      <c r="P1931" s="516">
        <f>'[1]5.LO'!E120</f>
        <v>0</v>
      </c>
      <c r="Q1931" s="517"/>
      <c r="R1931" s="517"/>
      <c r="S1931" s="517"/>
      <c r="T1931" s="517"/>
      <c r="U1931" s="518"/>
      <c r="V1931" s="23"/>
    </row>
    <row r="1932" spans="1:22" s="16" customFormat="1" ht="13.5" customHeight="1" x14ac:dyDescent="0.25">
      <c r="A1932" s="11"/>
      <c r="B1932" s="29"/>
      <c r="C1932" s="29"/>
      <c r="D1932" s="269"/>
      <c r="E1932" s="271" t="s">
        <v>650</v>
      </c>
      <c r="F1932" s="42"/>
      <c r="G1932" s="258"/>
      <c r="H1932" s="259"/>
      <c r="I1932" s="259"/>
      <c r="J1932" s="259"/>
      <c r="K1932" s="259"/>
      <c r="L1932" s="259"/>
      <c r="M1932" s="258"/>
      <c r="N1932" s="259"/>
      <c r="O1932" s="260"/>
      <c r="P1932" s="513">
        <f>'[1]5.LO'!E121</f>
        <v>0</v>
      </c>
      <c r="Q1932" s="514"/>
      <c r="R1932" s="514"/>
      <c r="S1932" s="514"/>
      <c r="T1932" s="514"/>
      <c r="U1932" s="515"/>
      <c r="V1932" s="23"/>
    </row>
    <row r="1933" spans="1:22" s="16" customFormat="1" ht="13.5" customHeight="1" x14ac:dyDescent="0.25">
      <c r="A1933" s="11"/>
      <c r="B1933" s="29"/>
      <c r="C1933" s="29"/>
      <c r="D1933" s="269"/>
      <c r="E1933" s="271" t="s">
        <v>651</v>
      </c>
      <c r="F1933" s="42"/>
      <c r="G1933" s="258"/>
      <c r="H1933" s="259"/>
      <c r="I1933" s="259"/>
      <c r="J1933" s="259"/>
      <c r="K1933" s="259"/>
      <c r="L1933" s="259"/>
      <c r="M1933" s="258"/>
      <c r="N1933" s="259"/>
      <c r="O1933" s="260"/>
      <c r="P1933" s="513">
        <f>'[1]5.LO'!E122</f>
        <v>0</v>
      </c>
      <c r="Q1933" s="514"/>
      <c r="R1933" s="514"/>
      <c r="S1933" s="514"/>
      <c r="T1933" s="514"/>
      <c r="U1933" s="515"/>
      <c r="V1933" s="23"/>
    </row>
    <row r="1934" spans="1:22" s="16" customFormat="1" ht="13.5" customHeight="1" x14ac:dyDescent="0.2">
      <c r="A1934" s="11"/>
      <c r="B1934" s="29"/>
      <c r="C1934" s="29"/>
      <c r="D1934" s="269">
        <v>3</v>
      </c>
      <c r="E1934" s="267" t="s">
        <v>652</v>
      </c>
      <c r="F1934" s="267"/>
      <c r="G1934" s="258"/>
      <c r="H1934" s="259"/>
      <c r="I1934" s="259"/>
      <c r="J1934" s="259"/>
      <c r="K1934" s="259"/>
      <c r="L1934" s="259"/>
      <c r="M1934" s="258"/>
      <c r="N1934" s="259"/>
      <c r="O1934" s="260"/>
      <c r="P1934" s="516">
        <f>'[1]5.LO'!E123</f>
        <v>0</v>
      </c>
      <c r="Q1934" s="517"/>
      <c r="R1934" s="517"/>
      <c r="S1934" s="517"/>
      <c r="T1934" s="517"/>
      <c r="U1934" s="518"/>
      <c r="V1934" s="23"/>
    </row>
    <row r="1935" spans="1:22" s="16" customFormat="1" ht="13.5" customHeight="1" x14ac:dyDescent="0.2">
      <c r="A1935" s="11"/>
      <c r="B1935" s="29"/>
      <c r="C1935" s="29"/>
      <c r="D1935" s="269"/>
      <c r="E1935" s="267" t="s">
        <v>653</v>
      </c>
      <c r="F1935" s="42"/>
      <c r="G1935" s="258"/>
      <c r="H1935" s="259"/>
      <c r="I1935" s="259"/>
      <c r="J1935" s="259"/>
      <c r="K1935" s="259"/>
      <c r="L1935" s="259"/>
      <c r="M1935" s="258"/>
      <c r="N1935" s="259"/>
      <c r="O1935" s="260"/>
      <c r="P1935" s="516">
        <f>'[1]5.LO'!E124</f>
        <v>0</v>
      </c>
      <c r="Q1935" s="517"/>
      <c r="R1935" s="517"/>
      <c r="S1935" s="517"/>
      <c r="T1935" s="517"/>
      <c r="U1935" s="518"/>
      <c r="V1935" s="23"/>
    </row>
    <row r="1936" spans="1:22" s="16" customFormat="1" ht="13.5" customHeight="1" x14ac:dyDescent="0.2">
      <c r="A1936" s="11"/>
      <c r="B1936" s="29"/>
      <c r="C1936" s="29"/>
      <c r="D1936" s="266"/>
      <c r="E1936" s="267" t="s">
        <v>654</v>
      </c>
      <c r="F1936" s="42"/>
      <c r="G1936" s="258"/>
      <c r="H1936" s="259"/>
      <c r="I1936" s="259"/>
      <c r="J1936" s="259"/>
      <c r="K1936" s="259"/>
      <c r="L1936" s="259"/>
      <c r="M1936" s="258"/>
      <c r="N1936" s="259"/>
      <c r="O1936" s="260"/>
      <c r="P1936" s="516">
        <f>'[1]5.LO'!E125</f>
        <v>0</v>
      </c>
      <c r="Q1936" s="517"/>
      <c r="R1936" s="517"/>
      <c r="S1936" s="517"/>
      <c r="T1936" s="517"/>
      <c r="U1936" s="518"/>
      <c r="V1936" s="23"/>
    </row>
    <row r="1937" spans="1:22" s="16" customFormat="1" ht="13.5" customHeight="1" x14ac:dyDescent="0.25">
      <c r="A1937" s="11"/>
      <c r="B1937" s="29"/>
      <c r="C1937" s="29"/>
      <c r="D1937" s="269"/>
      <c r="E1937" s="268" t="s">
        <v>655</v>
      </c>
      <c r="F1937" s="42"/>
      <c r="G1937" s="258"/>
      <c r="H1937" s="259"/>
      <c r="I1937" s="259"/>
      <c r="J1937" s="259"/>
      <c r="K1937" s="259"/>
      <c r="L1937" s="259"/>
      <c r="M1937" s="258"/>
      <c r="N1937" s="259"/>
      <c r="O1937" s="260"/>
      <c r="P1937" s="513">
        <f>'[1]5.LO'!E126</f>
        <v>0</v>
      </c>
      <c r="Q1937" s="514"/>
      <c r="R1937" s="514"/>
      <c r="S1937" s="514"/>
      <c r="T1937" s="514"/>
      <c r="U1937" s="515"/>
      <c r="V1937" s="23"/>
    </row>
    <row r="1938" spans="1:22" s="16" customFormat="1" ht="27" customHeight="1" x14ac:dyDescent="0.2">
      <c r="A1938" s="11"/>
      <c r="B1938" s="29"/>
      <c r="C1938" s="29"/>
      <c r="D1938" s="269"/>
      <c r="E1938" s="512" t="s">
        <v>656</v>
      </c>
      <c r="F1938" s="469"/>
      <c r="G1938" s="469"/>
      <c r="H1938" s="469"/>
      <c r="I1938" s="469"/>
      <c r="J1938" s="469"/>
      <c r="K1938" s="469"/>
      <c r="L1938" s="469"/>
      <c r="M1938" s="469"/>
      <c r="N1938" s="469"/>
      <c r="O1938" s="470"/>
      <c r="P1938" s="513">
        <f>'[1]5.LO'!E127</f>
        <v>0</v>
      </c>
      <c r="Q1938" s="514"/>
      <c r="R1938" s="514"/>
      <c r="S1938" s="514"/>
      <c r="T1938" s="514"/>
      <c r="U1938" s="515"/>
      <c r="V1938" s="23"/>
    </row>
    <row r="1939" spans="1:22" s="16" customFormat="1" ht="27" customHeight="1" x14ac:dyDescent="0.2">
      <c r="A1939" s="11"/>
      <c r="B1939" s="29"/>
      <c r="C1939" s="29"/>
      <c r="D1939" s="266"/>
      <c r="E1939" s="512" t="s">
        <v>657</v>
      </c>
      <c r="F1939" s="469"/>
      <c r="G1939" s="469"/>
      <c r="H1939" s="469"/>
      <c r="I1939" s="469"/>
      <c r="J1939" s="469"/>
      <c r="K1939" s="469"/>
      <c r="L1939" s="469"/>
      <c r="M1939" s="469"/>
      <c r="N1939" s="469"/>
      <c r="O1939" s="470"/>
      <c r="P1939" s="513">
        <f>'[1]5.LO'!E128</f>
        <v>0</v>
      </c>
      <c r="Q1939" s="514"/>
      <c r="R1939" s="514"/>
      <c r="S1939" s="514"/>
      <c r="T1939" s="514"/>
      <c r="U1939" s="515"/>
      <c r="V1939" s="23"/>
    </row>
    <row r="1940" spans="1:22" s="16" customFormat="1" ht="27" customHeight="1" x14ac:dyDescent="0.2">
      <c r="A1940" s="11"/>
      <c r="B1940" s="29"/>
      <c r="C1940" s="29"/>
      <c r="D1940" s="266"/>
      <c r="E1940" s="512" t="s">
        <v>658</v>
      </c>
      <c r="F1940" s="469"/>
      <c r="G1940" s="469"/>
      <c r="H1940" s="469"/>
      <c r="I1940" s="469"/>
      <c r="J1940" s="469"/>
      <c r="K1940" s="469"/>
      <c r="L1940" s="469"/>
      <c r="M1940" s="469"/>
      <c r="N1940" s="469"/>
      <c r="O1940" s="470"/>
      <c r="P1940" s="513">
        <f>'[1]5.LO'!E129</f>
        <v>0</v>
      </c>
      <c r="Q1940" s="514"/>
      <c r="R1940" s="514"/>
      <c r="S1940" s="514"/>
      <c r="T1940" s="514"/>
      <c r="U1940" s="515"/>
      <c r="V1940" s="23"/>
    </row>
    <row r="1941" spans="1:22" s="16" customFormat="1" ht="13.5" customHeight="1" x14ac:dyDescent="0.25">
      <c r="A1941" s="11"/>
      <c r="B1941" s="29"/>
      <c r="C1941" s="29"/>
      <c r="D1941" s="269"/>
      <c r="E1941" s="268" t="s">
        <v>659</v>
      </c>
      <c r="F1941" s="42"/>
      <c r="G1941" s="258"/>
      <c r="H1941" s="259"/>
      <c r="I1941" s="259"/>
      <c r="J1941" s="259"/>
      <c r="K1941" s="259"/>
      <c r="L1941" s="259"/>
      <c r="M1941" s="258"/>
      <c r="N1941" s="259"/>
      <c r="O1941" s="260"/>
      <c r="P1941" s="513">
        <f>'[1]5.LO'!E130</f>
        <v>0</v>
      </c>
      <c r="Q1941" s="514"/>
      <c r="R1941" s="514"/>
      <c r="S1941" s="514"/>
      <c r="T1941" s="514"/>
      <c r="U1941" s="515"/>
      <c r="V1941" s="23"/>
    </row>
    <row r="1942" spans="1:22" s="16" customFormat="1" ht="13.5" customHeight="1" x14ac:dyDescent="0.2">
      <c r="A1942" s="11"/>
      <c r="B1942" s="29"/>
      <c r="C1942" s="29"/>
      <c r="D1942" s="269"/>
      <c r="E1942" s="267" t="s">
        <v>660</v>
      </c>
      <c r="F1942" s="42"/>
      <c r="G1942" s="258"/>
      <c r="H1942" s="259"/>
      <c r="I1942" s="259"/>
      <c r="J1942" s="259"/>
      <c r="K1942" s="259"/>
      <c r="L1942" s="259"/>
      <c r="M1942" s="258"/>
      <c r="N1942" s="259"/>
      <c r="O1942" s="260"/>
      <c r="P1942" s="513">
        <f>'[1]5.LO'!E131</f>
        <v>0</v>
      </c>
      <c r="Q1942" s="514"/>
      <c r="R1942" s="514"/>
      <c r="S1942" s="514"/>
      <c r="T1942" s="514"/>
      <c r="U1942" s="515"/>
      <c r="V1942" s="23"/>
    </row>
    <row r="1943" spans="1:22" s="16" customFormat="1" ht="24.75" customHeight="1" x14ac:dyDescent="0.2">
      <c r="A1943" s="11"/>
      <c r="B1943" s="29"/>
      <c r="C1943" s="29"/>
      <c r="D1943" s="491" t="s">
        <v>661</v>
      </c>
      <c r="E1943" s="492"/>
      <c r="F1943" s="492"/>
      <c r="G1943" s="492"/>
      <c r="H1943" s="492"/>
      <c r="I1943" s="492"/>
      <c r="J1943" s="492"/>
      <c r="K1943" s="492"/>
      <c r="L1943" s="492"/>
      <c r="M1943" s="492"/>
      <c r="N1943" s="492"/>
      <c r="O1943" s="493"/>
      <c r="P1943" s="484">
        <f>P1934+P1931+P1896</f>
        <v>0</v>
      </c>
      <c r="Q1943" s="485"/>
      <c r="R1943" s="485"/>
      <c r="S1943" s="485"/>
      <c r="T1943" s="485"/>
      <c r="U1943" s="486"/>
      <c r="V1943" s="23"/>
    </row>
    <row r="1944" spans="1:22" s="16" customFormat="1" ht="21.75" customHeight="1" x14ac:dyDescent="0.2">
      <c r="A1944" s="11"/>
      <c r="B1944" s="29"/>
      <c r="C1944" s="29"/>
      <c r="D1944" s="29"/>
      <c r="E1944" s="29"/>
      <c r="F1944" s="29"/>
      <c r="G1944" s="29"/>
      <c r="H1944" s="29"/>
      <c r="I1944" s="29"/>
      <c r="J1944" s="29"/>
      <c r="K1944" s="29"/>
      <c r="L1944" s="29"/>
      <c r="M1944" s="29"/>
      <c r="N1944" s="29"/>
      <c r="O1944" s="29"/>
      <c r="P1944" s="29"/>
      <c r="Q1944" s="29"/>
      <c r="R1944" s="29"/>
      <c r="S1944" s="29"/>
      <c r="T1944" s="29"/>
      <c r="U1944" s="29"/>
      <c r="V1944" s="23"/>
    </row>
    <row r="1945" spans="1:22" s="16" customFormat="1" ht="21.75" customHeight="1" x14ac:dyDescent="0.2">
      <c r="A1945" s="11"/>
      <c r="B1945" s="29"/>
      <c r="C1945" s="15" t="s">
        <v>154</v>
      </c>
      <c r="D1945" s="511" t="s">
        <v>242</v>
      </c>
      <c r="E1945" s="511"/>
      <c r="F1945" s="511"/>
      <c r="G1945" s="511"/>
      <c r="H1945" s="511"/>
      <c r="I1945" s="511"/>
      <c r="J1945" s="511"/>
      <c r="K1945" s="511"/>
      <c r="L1945" s="511"/>
      <c r="M1945" s="511"/>
      <c r="N1945" s="511"/>
      <c r="O1945" s="511"/>
      <c r="P1945" s="511"/>
      <c r="Q1945" s="511"/>
      <c r="R1945" s="511"/>
      <c r="S1945" s="511"/>
      <c r="T1945" s="511"/>
      <c r="U1945" s="511"/>
      <c r="V1945" s="23"/>
    </row>
    <row r="1946" spans="1:22" s="16" customFormat="1" ht="47.25" customHeight="1" x14ac:dyDescent="0.2">
      <c r="A1946" s="11"/>
      <c r="B1946" s="29"/>
      <c r="D1946" s="407" t="str">
        <f>"Akun ini menggambarkan realisasi Lain-lain Pendapatan Daerah Yang Sah  untuk periode Tahun Anggaran "&amp;'[1]2.ISIAN DATA SKPD'!D11&amp;" dan " &amp;'[1]2.ISIAN DATA SKPD'!D12&amp;"  dengan rincian  sebagai berikut :"</f>
        <v>Akun ini menggambarkan realisasi Lain-lain Pendapatan Daerah Yang Sah  untuk periode Tahun Anggaran 2018 dan 2017  dengan rincian  sebagai berikut :</v>
      </c>
      <c r="E1946" s="407"/>
      <c r="F1946" s="407"/>
      <c r="G1946" s="407"/>
      <c r="H1946" s="407"/>
      <c r="I1946" s="407"/>
      <c r="J1946" s="407"/>
      <c r="K1946" s="407"/>
      <c r="L1946" s="407"/>
      <c r="M1946" s="407"/>
      <c r="N1946" s="407"/>
      <c r="O1946" s="407"/>
      <c r="P1946" s="407"/>
      <c r="Q1946" s="407"/>
      <c r="R1946" s="407"/>
      <c r="S1946" s="407"/>
      <c r="T1946" s="407"/>
      <c r="U1946" s="407"/>
      <c r="V1946" s="23"/>
    </row>
    <row r="1947" spans="1:22" s="16" customFormat="1" ht="18.75" customHeight="1" x14ac:dyDescent="0.2">
      <c r="A1947" s="11"/>
      <c r="B1947" s="29"/>
      <c r="D1947" s="77"/>
      <c r="E1947" s="77"/>
      <c r="F1947" s="77"/>
      <c r="G1947" s="77"/>
      <c r="H1947" s="77"/>
      <c r="I1947" s="77"/>
      <c r="J1947" s="77"/>
      <c r="K1947" s="77"/>
      <c r="L1947" s="77"/>
      <c r="M1947" s="77"/>
      <c r="N1947" s="77"/>
      <c r="O1947" s="77"/>
      <c r="P1947" s="77"/>
      <c r="Q1947" s="77"/>
      <c r="R1947" s="77"/>
      <c r="S1947" s="77"/>
      <c r="T1947" s="77"/>
      <c r="U1947" s="77"/>
      <c r="V1947" s="23"/>
    </row>
    <row r="1948" spans="1:22" s="16" customFormat="1" ht="21.75" customHeight="1" x14ac:dyDescent="0.2">
      <c r="A1948" s="425" t="s">
        <v>125</v>
      </c>
      <c r="B1948" s="426"/>
      <c r="C1948" s="426"/>
      <c r="D1948" s="426"/>
      <c r="E1948" s="426"/>
      <c r="F1948" s="426"/>
      <c r="G1948" s="426"/>
      <c r="H1948" s="427"/>
      <c r="I1948" s="425" t="str">
        <f>G1784</f>
        <v>TA 2018</v>
      </c>
      <c r="J1948" s="426"/>
      <c r="K1948" s="426"/>
      <c r="L1948" s="426"/>
      <c r="M1948" s="426"/>
      <c r="N1948" s="427"/>
      <c r="O1948" s="425" t="str">
        <f>M1784</f>
        <v>TA 2017</v>
      </c>
      <c r="P1948" s="426"/>
      <c r="Q1948" s="426"/>
      <c r="R1948" s="426"/>
      <c r="S1948" s="426"/>
      <c r="T1948" s="426"/>
      <c r="U1948" s="427"/>
      <c r="V1948" s="23"/>
    </row>
    <row r="1949" spans="1:22" s="16" customFormat="1" ht="14.25" customHeight="1" x14ac:dyDescent="0.2">
      <c r="A1949" s="272" t="s">
        <v>662</v>
      </c>
      <c r="B1949" s="273"/>
      <c r="C1949" s="42"/>
      <c r="D1949" s="42"/>
      <c r="E1949" s="274"/>
      <c r="F1949" s="274"/>
      <c r="G1949" s="274"/>
      <c r="H1949" s="274"/>
      <c r="I1949" s="505">
        <f>'[1]5.LO'!E134</f>
        <v>0</v>
      </c>
      <c r="J1949" s="506"/>
      <c r="K1949" s="506"/>
      <c r="L1949" s="506"/>
      <c r="M1949" s="506"/>
      <c r="N1949" s="507"/>
      <c r="O1949" s="508">
        <f>'[1]5.LO'!F134</f>
        <v>121500000</v>
      </c>
      <c r="P1949" s="509"/>
      <c r="Q1949" s="509"/>
      <c r="R1949" s="509"/>
      <c r="S1949" s="509"/>
      <c r="T1949" s="509"/>
      <c r="U1949" s="510"/>
      <c r="V1949" s="23"/>
    </row>
    <row r="1950" spans="1:22" s="16" customFormat="1" ht="14.25" customHeight="1" x14ac:dyDescent="0.2">
      <c r="A1950" s="272" t="s">
        <v>37</v>
      </c>
      <c r="B1950" s="273"/>
      <c r="C1950" s="42"/>
      <c r="D1950" s="42"/>
      <c r="E1950" s="274"/>
      <c r="F1950" s="274"/>
      <c r="G1950" s="274"/>
      <c r="H1950" s="274"/>
      <c r="I1950" s="505">
        <f>'[1]5.LO'!E163</f>
        <v>26821</v>
      </c>
      <c r="J1950" s="506"/>
      <c r="K1950" s="506"/>
      <c r="L1950" s="506"/>
      <c r="M1950" s="506"/>
      <c r="N1950" s="507"/>
      <c r="O1950" s="508">
        <f>'[1]5.LO'!F136</f>
        <v>0</v>
      </c>
      <c r="P1950" s="509"/>
      <c r="Q1950" s="509"/>
      <c r="R1950" s="509"/>
      <c r="S1950" s="509"/>
      <c r="T1950" s="509"/>
      <c r="U1950" s="510"/>
      <c r="V1950" s="23"/>
    </row>
    <row r="1951" spans="1:22" s="16" customFormat="1" ht="14.25" customHeight="1" x14ac:dyDescent="0.2">
      <c r="A1951" s="272" t="s">
        <v>38</v>
      </c>
      <c r="B1951" s="273"/>
      <c r="C1951" s="42"/>
      <c r="D1951" s="42"/>
      <c r="E1951" s="274"/>
      <c r="F1951" s="274"/>
      <c r="G1951" s="274"/>
      <c r="H1951" s="274"/>
      <c r="I1951" s="505">
        <f>'[1]5.LO'!E184</f>
        <v>147438200</v>
      </c>
      <c r="J1951" s="506"/>
      <c r="K1951" s="506"/>
      <c r="L1951" s="506"/>
      <c r="M1951" s="506"/>
      <c r="N1951" s="507"/>
      <c r="O1951" s="508">
        <f>'[1]5.LO'!F137</f>
        <v>0</v>
      </c>
      <c r="P1951" s="509"/>
      <c r="Q1951" s="509"/>
      <c r="R1951" s="509"/>
      <c r="S1951" s="509"/>
      <c r="T1951" s="509"/>
      <c r="U1951" s="510"/>
      <c r="V1951" s="23"/>
    </row>
    <row r="1952" spans="1:22" s="16" customFormat="1" ht="21.75" customHeight="1" x14ac:dyDescent="0.2">
      <c r="A1952" s="497" t="s">
        <v>205</v>
      </c>
      <c r="B1952" s="498"/>
      <c r="C1952" s="498"/>
      <c r="D1952" s="498"/>
      <c r="E1952" s="498"/>
      <c r="F1952" s="498"/>
      <c r="G1952" s="498"/>
      <c r="H1952" s="499"/>
      <c r="I1952" s="494">
        <f>SUM(I1949:R1951)</f>
        <v>268965021</v>
      </c>
      <c r="J1952" s="495"/>
      <c r="K1952" s="495"/>
      <c r="L1952" s="495"/>
      <c r="M1952" s="495"/>
      <c r="N1952" s="496"/>
      <c r="O1952" s="494">
        <f>SUM(O1949:U1951)</f>
        <v>121500000</v>
      </c>
      <c r="P1952" s="495"/>
      <c r="Q1952" s="495"/>
      <c r="R1952" s="495"/>
      <c r="S1952" s="495"/>
      <c r="T1952" s="495"/>
      <c r="U1952" s="496"/>
      <c r="V1952" s="23"/>
    </row>
    <row r="1953" spans="1:22" s="16" customFormat="1" ht="21.75" customHeight="1" x14ac:dyDescent="0.2">
      <c r="A1953" s="275"/>
      <c r="B1953" s="275"/>
      <c r="C1953" s="275"/>
      <c r="D1953" s="275"/>
      <c r="E1953" s="275"/>
      <c r="F1953" s="275"/>
      <c r="G1953" s="275"/>
      <c r="H1953" s="275"/>
      <c r="I1953" s="276"/>
      <c r="J1953" s="276"/>
      <c r="K1953" s="276"/>
      <c r="L1953" s="276"/>
      <c r="M1953" s="276"/>
      <c r="N1953" s="276"/>
      <c r="O1953" s="276"/>
      <c r="P1953" s="276"/>
      <c r="Q1953" s="276"/>
      <c r="R1953" s="276"/>
      <c r="S1953" s="276"/>
      <c r="T1953" s="276"/>
      <c r="U1953" s="276"/>
      <c r="V1953" s="23"/>
    </row>
    <row r="1954" spans="1:22" s="16" customFormat="1" ht="32.25" customHeight="1" x14ac:dyDescent="0.2">
      <c r="A1954" s="11"/>
      <c r="B1954" s="29"/>
      <c r="C1954" s="29"/>
      <c r="D1954" s="407" t="str">
        <f>"Adapun rincian Lain-lain Pendapatan Yang Sah  per "&amp;'[1]2.ISIAN DATA SKPD'!D8&amp;" sebagaimana berikut :"</f>
        <v>Adapun rincian Lain-lain Pendapatan Yang Sah  per 31 Desember 2018 sebagaimana berikut :</v>
      </c>
      <c r="E1954" s="407"/>
      <c r="F1954" s="407"/>
      <c r="G1954" s="407"/>
      <c r="H1954" s="407"/>
      <c r="I1954" s="407"/>
      <c r="J1954" s="407"/>
      <c r="K1954" s="407"/>
      <c r="L1954" s="407"/>
      <c r="M1954" s="407"/>
      <c r="N1954" s="407"/>
      <c r="O1954" s="407"/>
      <c r="P1954" s="407"/>
      <c r="Q1954" s="407"/>
      <c r="R1954" s="407"/>
      <c r="S1954" s="407"/>
      <c r="T1954" s="407"/>
      <c r="U1954" s="407"/>
      <c r="V1954" s="23"/>
    </row>
    <row r="1955" spans="1:22" s="16" customFormat="1" ht="21.75" customHeight="1" x14ac:dyDescent="0.2">
      <c r="A1955" s="11"/>
      <c r="B1955" s="29"/>
      <c r="C1955" s="29"/>
      <c r="D1955" s="248" t="s">
        <v>209</v>
      </c>
      <c r="E1955" s="500" t="s">
        <v>663</v>
      </c>
      <c r="F1955" s="500"/>
      <c r="G1955" s="500"/>
      <c r="H1955" s="500"/>
      <c r="I1955" s="500"/>
      <c r="J1955" s="500"/>
      <c r="K1955" s="500"/>
      <c r="L1955" s="500"/>
      <c r="M1955" s="500"/>
      <c r="N1955" s="500"/>
      <c r="O1955" s="501"/>
      <c r="P1955" s="502" t="s">
        <v>205</v>
      </c>
      <c r="Q1955" s="503"/>
      <c r="R1955" s="503"/>
      <c r="S1955" s="503"/>
      <c r="T1955" s="503"/>
      <c r="U1955" s="504"/>
      <c r="V1955" s="23"/>
    </row>
    <row r="1956" spans="1:22" s="16" customFormat="1" ht="14.25" customHeight="1" x14ac:dyDescent="0.2">
      <c r="A1956" s="11"/>
      <c r="B1956" s="29"/>
      <c r="C1956" s="29"/>
      <c r="D1956" s="249">
        <v>1</v>
      </c>
      <c r="E1956" s="267" t="s">
        <v>662</v>
      </c>
      <c r="F1956" s="277"/>
      <c r="G1956" s="251"/>
      <c r="H1956" s="252"/>
      <c r="I1956" s="252"/>
      <c r="J1956" s="252"/>
      <c r="K1956" s="252"/>
      <c r="L1956" s="252"/>
      <c r="M1956" s="251"/>
      <c r="N1956" s="252"/>
      <c r="O1956" s="253"/>
      <c r="P1956" s="449">
        <f>'[1]5.LO'!E134</f>
        <v>0</v>
      </c>
      <c r="Q1956" s="450"/>
      <c r="R1956" s="450"/>
      <c r="S1956" s="450"/>
      <c r="T1956" s="450"/>
      <c r="U1956" s="451"/>
      <c r="V1956" s="23"/>
    </row>
    <row r="1957" spans="1:22" s="16" customFormat="1" ht="14.25" customHeight="1" x14ac:dyDescent="0.25">
      <c r="A1957" s="11"/>
      <c r="B1957" s="29"/>
      <c r="C1957" s="29"/>
      <c r="D1957" s="249"/>
      <c r="E1957" s="278"/>
      <c r="F1957" s="279" t="s">
        <v>664</v>
      </c>
      <c r="G1957" s="258"/>
      <c r="H1957" s="259"/>
      <c r="I1957" s="259"/>
      <c r="J1957" s="259"/>
      <c r="K1957" s="259"/>
      <c r="L1957" s="259"/>
      <c r="M1957" s="258"/>
      <c r="N1957" s="259"/>
      <c r="O1957" s="260"/>
      <c r="P1957" s="415">
        <f>'[1]5.LO'!E135</f>
        <v>0</v>
      </c>
      <c r="Q1957" s="416"/>
      <c r="R1957" s="416"/>
      <c r="S1957" s="416"/>
      <c r="T1957" s="416"/>
      <c r="U1957" s="417"/>
      <c r="V1957" s="23"/>
    </row>
    <row r="1958" spans="1:22" s="16" customFormat="1" ht="14.25" customHeight="1" x14ac:dyDescent="0.2">
      <c r="A1958" s="11"/>
      <c r="B1958" s="29"/>
      <c r="C1958" s="29"/>
      <c r="D1958" s="249">
        <v>2</v>
      </c>
      <c r="E1958" s="267" t="s">
        <v>37</v>
      </c>
      <c r="F1958" s="277"/>
      <c r="G1958" s="258"/>
      <c r="H1958" s="259"/>
      <c r="I1958" s="259"/>
      <c r="J1958" s="259"/>
      <c r="K1958" s="259"/>
      <c r="L1958" s="259"/>
      <c r="M1958" s="258"/>
      <c r="N1958" s="259"/>
      <c r="O1958" s="260"/>
      <c r="P1958" s="449">
        <f>'[1]5.LO'!E136</f>
        <v>0</v>
      </c>
      <c r="Q1958" s="450"/>
      <c r="R1958" s="450"/>
      <c r="S1958" s="450"/>
      <c r="T1958" s="450"/>
      <c r="U1958" s="451"/>
      <c r="V1958" s="23"/>
    </row>
    <row r="1959" spans="1:22" s="16" customFormat="1" ht="14.25" customHeight="1" x14ac:dyDescent="0.2">
      <c r="A1959" s="11"/>
      <c r="B1959" s="29"/>
      <c r="C1959" s="29"/>
      <c r="D1959" s="249">
        <v>3</v>
      </c>
      <c r="E1959" s="280" t="s">
        <v>38</v>
      </c>
      <c r="F1959" s="281"/>
      <c r="G1959" s="258"/>
      <c r="H1959" s="259"/>
      <c r="I1959" s="259"/>
      <c r="J1959" s="259"/>
      <c r="K1959" s="259"/>
      <c r="L1959" s="259"/>
      <c r="M1959" s="258"/>
      <c r="N1959" s="259"/>
      <c r="O1959" s="260"/>
      <c r="P1959" s="449">
        <f>'[1]5.LO'!E137</f>
        <v>0</v>
      </c>
      <c r="Q1959" s="450"/>
      <c r="R1959" s="450"/>
      <c r="S1959" s="450"/>
      <c r="T1959" s="450"/>
      <c r="U1959" s="451"/>
      <c r="V1959" s="23"/>
    </row>
    <row r="1960" spans="1:22" s="16" customFormat="1" ht="14.25" customHeight="1" x14ac:dyDescent="0.2">
      <c r="A1960" s="11"/>
      <c r="B1960" s="29"/>
      <c r="C1960" s="29"/>
      <c r="D1960" s="249"/>
      <c r="E1960" s="282"/>
      <c r="F1960" s="277" t="s">
        <v>665</v>
      </c>
      <c r="G1960" s="258"/>
      <c r="H1960" s="259"/>
      <c r="I1960" s="259"/>
      <c r="J1960" s="259"/>
      <c r="K1960" s="259"/>
      <c r="L1960" s="259"/>
      <c r="M1960" s="258"/>
      <c r="N1960" s="259"/>
      <c r="O1960" s="260"/>
      <c r="P1960" s="449">
        <f>'[1]5.LO'!E138</f>
        <v>0</v>
      </c>
      <c r="Q1960" s="450"/>
      <c r="R1960" s="450"/>
      <c r="S1960" s="450"/>
      <c r="T1960" s="450"/>
      <c r="U1960" s="451"/>
      <c r="V1960" s="23"/>
    </row>
    <row r="1961" spans="1:22" s="16" customFormat="1" ht="14.25" customHeight="1" x14ac:dyDescent="0.25">
      <c r="A1961" s="11"/>
      <c r="B1961" s="29"/>
      <c r="C1961" s="29"/>
      <c r="D1961" s="249"/>
      <c r="E1961" s="278"/>
      <c r="F1961" s="279" t="s">
        <v>666</v>
      </c>
      <c r="G1961" s="258"/>
      <c r="H1961" s="259"/>
      <c r="I1961" s="259"/>
      <c r="J1961" s="259"/>
      <c r="K1961" s="259"/>
      <c r="L1961" s="259"/>
      <c r="M1961" s="258"/>
      <c r="N1961" s="259"/>
      <c r="O1961" s="260"/>
      <c r="P1961" s="415">
        <f>'[1]5.LO'!E139</f>
        <v>0</v>
      </c>
      <c r="Q1961" s="416"/>
      <c r="R1961" s="416"/>
      <c r="S1961" s="416"/>
      <c r="T1961" s="416"/>
      <c r="U1961" s="417"/>
      <c r="V1961" s="23"/>
    </row>
    <row r="1962" spans="1:22" s="16" customFormat="1" ht="14.25" customHeight="1" x14ac:dyDescent="0.25">
      <c r="A1962" s="11"/>
      <c r="B1962" s="29"/>
      <c r="C1962" s="29"/>
      <c r="D1962" s="249"/>
      <c r="E1962" s="278"/>
      <c r="F1962" s="279" t="s">
        <v>667</v>
      </c>
      <c r="G1962" s="258"/>
      <c r="H1962" s="259"/>
      <c r="I1962" s="259"/>
      <c r="J1962" s="259"/>
      <c r="K1962" s="259"/>
      <c r="L1962" s="259"/>
      <c r="M1962" s="258"/>
      <c r="N1962" s="259"/>
      <c r="O1962" s="260"/>
      <c r="P1962" s="415">
        <f>'[1]5.LO'!E140</f>
        <v>0</v>
      </c>
      <c r="Q1962" s="416"/>
      <c r="R1962" s="416"/>
      <c r="S1962" s="416"/>
      <c r="T1962" s="416"/>
      <c r="U1962" s="417"/>
      <c r="V1962" s="23"/>
    </row>
    <row r="1963" spans="1:22" s="16" customFormat="1" ht="14.25" customHeight="1" x14ac:dyDescent="0.25">
      <c r="A1963" s="11"/>
      <c r="B1963" s="29"/>
      <c r="C1963" s="29"/>
      <c r="D1963" s="249"/>
      <c r="E1963" s="278"/>
      <c r="F1963" s="279" t="s">
        <v>668</v>
      </c>
      <c r="G1963" s="258"/>
      <c r="H1963" s="259"/>
      <c r="I1963" s="259"/>
      <c r="J1963" s="259"/>
      <c r="K1963" s="259"/>
      <c r="L1963" s="259"/>
      <c r="M1963" s="258"/>
      <c r="N1963" s="259"/>
      <c r="O1963" s="260"/>
      <c r="P1963" s="415">
        <f>'[1]5.LO'!E141</f>
        <v>0</v>
      </c>
      <c r="Q1963" s="416"/>
      <c r="R1963" s="416"/>
      <c r="S1963" s="416"/>
      <c r="T1963" s="416"/>
      <c r="U1963" s="417"/>
      <c r="V1963" s="23"/>
    </row>
    <row r="1964" spans="1:22" s="16" customFormat="1" ht="14.25" customHeight="1" x14ac:dyDescent="0.25">
      <c r="A1964" s="11"/>
      <c r="B1964" s="29"/>
      <c r="C1964" s="29"/>
      <c r="D1964" s="249"/>
      <c r="E1964" s="278"/>
      <c r="F1964" s="279" t="s">
        <v>669</v>
      </c>
      <c r="G1964" s="258"/>
      <c r="H1964" s="259"/>
      <c r="I1964" s="259"/>
      <c r="J1964" s="259"/>
      <c r="K1964" s="259"/>
      <c r="L1964" s="259"/>
      <c r="M1964" s="258"/>
      <c r="N1964" s="259"/>
      <c r="O1964" s="260"/>
      <c r="P1964" s="415">
        <f>'[1]5.LO'!E142</f>
        <v>0</v>
      </c>
      <c r="Q1964" s="416"/>
      <c r="R1964" s="416"/>
      <c r="S1964" s="416"/>
      <c r="T1964" s="416"/>
      <c r="U1964" s="417"/>
      <c r="V1964" s="23"/>
    </row>
    <row r="1965" spans="1:22" s="16" customFormat="1" ht="14.25" customHeight="1" x14ac:dyDescent="0.25">
      <c r="A1965" s="11"/>
      <c r="B1965" s="29"/>
      <c r="C1965" s="29"/>
      <c r="D1965" s="249"/>
      <c r="E1965" s="278"/>
      <c r="F1965" s="279" t="s">
        <v>670</v>
      </c>
      <c r="G1965" s="258"/>
      <c r="H1965" s="259"/>
      <c r="I1965" s="259"/>
      <c r="J1965" s="259"/>
      <c r="K1965" s="259"/>
      <c r="L1965" s="259"/>
      <c r="M1965" s="258"/>
      <c r="N1965" s="259"/>
      <c r="O1965" s="260"/>
      <c r="P1965" s="415">
        <f>'[1]5.LO'!E143</f>
        <v>0</v>
      </c>
      <c r="Q1965" s="416"/>
      <c r="R1965" s="416"/>
      <c r="S1965" s="416"/>
      <c r="T1965" s="416"/>
      <c r="U1965" s="417"/>
      <c r="V1965" s="23"/>
    </row>
    <row r="1966" spans="1:22" s="16" customFormat="1" ht="14.25" customHeight="1" x14ac:dyDescent="0.25">
      <c r="A1966" s="11"/>
      <c r="B1966" s="29"/>
      <c r="C1966" s="29"/>
      <c r="D1966" s="249"/>
      <c r="E1966" s="278"/>
      <c r="F1966" s="279" t="s">
        <v>671</v>
      </c>
      <c r="G1966" s="251"/>
      <c r="H1966" s="252"/>
      <c r="I1966" s="252"/>
      <c r="J1966" s="252"/>
      <c r="K1966" s="252"/>
      <c r="L1966" s="252"/>
      <c r="M1966" s="251"/>
      <c r="N1966" s="252"/>
      <c r="O1966" s="253"/>
      <c r="P1966" s="415">
        <f>'[1]5.LO'!E144</f>
        <v>0</v>
      </c>
      <c r="Q1966" s="416"/>
      <c r="R1966" s="416"/>
      <c r="S1966" s="416"/>
      <c r="T1966" s="416"/>
      <c r="U1966" s="417"/>
      <c r="V1966" s="23"/>
    </row>
    <row r="1967" spans="1:22" s="16" customFormat="1" ht="14.25" customHeight="1" x14ac:dyDescent="0.25">
      <c r="A1967" s="11"/>
      <c r="B1967" s="29"/>
      <c r="C1967" s="29"/>
      <c r="D1967" s="249"/>
      <c r="E1967" s="278"/>
      <c r="F1967" s="279" t="s">
        <v>672</v>
      </c>
      <c r="G1967" s="258"/>
      <c r="H1967" s="259"/>
      <c r="I1967" s="259"/>
      <c r="J1967" s="259"/>
      <c r="K1967" s="259"/>
      <c r="L1967" s="259"/>
      <c r="M1967" s="258"/>
      <c r="N1967" s="259"/>
      <c r="O1967" s="260"/>
      <c r="P1967" s="415">
        <f>'[1]5.LO'!E145</f>
        <v>0</v>
      </c>
      <c r="Q1967" s="416"/>
      <c r="R1967" s="416"/>
      <c r="S1967" s="416"/>
      <c r="T1967" s="416"/>
      <c r="U1967" s="417"/>
      <c r="V1967" s="23"/>
    </row>
    <row r="1968" spans="1:22" s="16" customFormat="1" ht="14.25" customHeight="1" x14ac:dyDescent="0.25">
      <c r="A1968" s="11"/>
      <c r="B1968" s="29"/>
      <c r="C1968" s="29"/>
      <c r="D1968" s="261"/>
      <c r="E1968" s="278"/>
      <c r="F1968" s="279" t="s">
        <v>673</v>
      </c>
      <c r="G1968" s="258"/>
      <c r="H1968" s="259"/>
      <c r="I1968" s="259"/>
      <c r="J1968" s="259"/>
      <c r="K1968" s="259"/>
      <c r="L1968" s="259"/>
      <c r="M1968" s="258"/>
      <c r="N1968" s="259"/>
      <c r="O1968" s="260"/>
      <c r="P1968" s="415">
        <f>'[1]5.LO'!E146</f>
        <v>0</v>
      </c>
      <c r="Q1968" s="416"/>
      <c r="R1968" s="416"/>
      <c r="S1968" s="416"/>
      <c r="T1968" s="416"/>
      <c r="U1968" s="417"/>
      <c r="V1968" s="23"/>
    </row>
    <row r="1969" spans="1:32" s="16" customFormat="1" ht="14.25" customHeight="1" x14ac:dyDescent="0.25">
      <c r="A1969" s="11"/>
      <c r="B1969" s="29"/>
      <c r="C1969" s="29"/>
      <c r="D1969" s="261"/>
      <c r="E1969" s="283"/>
      <c r="F1969" s="279" t="s">
        <v>674</v>
      </c>
      <c r="G1969" s="258"/>
      <c r="H1969" s="259"/>
      <c r="I1969" s="259"/>
      <c r="J1969" s="259"/>
      <c r="K1969" s="259"/>
      <c r="L1969" s="259"/>
      <c r="M1969" s="258"/>
      <c r="N1969" s="259"/>
      <c r="O1969" s="260"/>
      <c r="P1969" s="415">
        <f>'[1]5.LO'!E147</f>
        <v>0</v>
      </c>
      <c r="Q1969" s="416"/>
      <c r="R1969" s="416"/>
      <c r="S1969" s="416"/>
      <c r="T1969" s="416"/>
      <c r="U1969" s="417"/>
      <c r="V1969" s="23"/>
    </row>
    <row r="1970" spans="1:32" s="16" customFormat="1" ht="14.25" customHeight="1" x14ac:dyDescent="0.25">
      <c r="A1970" s="11"/>
      <c r="B1970" s="29"/>
      <c r="C1970" s="29"/>
      <c r="D1970" s="261"/>
      <c r="E1970" s="283"/>
      <c r="F1970" s="279" t="s">
        <v>675</v>
      </c>
      <c r="G1970" s="258"/>
      <c r="H1970" s="259"/>
      <c r="I1970" s="259"/>
      <c r="J1970" s="259"/>
      <c r="K1970" s="259"/>
      <c r="L1970" s="259"/>
      <c r="M1970" s="258"/>
      <c r="N1970" s="259"/>
      <c r="O1970" s="260"/>
      <c r="P1970" s="415">
        <f>'[1]5.LO'!E148</f>
        <v>0</v>
      </c>
      <c r="Q1970" s="416"/>
      <c r="R1970" s="416"/>
      <c r="S1970" s="416"/>
      <c r="T1970" s="416"/>
      <c r="U1970" s="417"/>
      <c r="V1970" s="23"/>
    </row>
    <row r="1971" spans="1:32" s="16" customFormat="1" ht="14.25" customHeight="1" x14ac:dyDescent="0.2">
      <c r="A1971" s="11"/>
      <c r="B1971" s="29"/>
      <c r="C1971" s="29"/>
      <c r="D1971" s="261"/>
      <c r="E1971" s="282"/>
      <c r="F1971" s="267" t="s">
        <v>676</v>
      </c>
      <c r="G1971" s="258"/>
      <c r="H1971" s="259"/>
      <c r="I1971" s="259"/>
      <c r="J1971" s="259"/>
      <c r="K1971" s="259"/>
      <c r="L1971" s="259"/>
      <c r="M1971" s="258"/>
      <c r="N1971" s="259"/>
      <c r="O1971" s="260"/>
      <c r="P1971" s="449">
        <f>'[1]5.LO'!E149</f>
        <v>0</v>
      </c>
      <c r="Q1971" s="450"/>
      <c r="R1971" s="450"/>
      <c r="S1971" s="450"/>
      <c r="T1971" s="450"/>
      <c r="U1971" s="451"/>
      <c r="V1971" s="23"/>
    </row>
    <row r="1972" spans="1:32" s="16" customFormat="1" ht="14.25" customHeight="1" x14ac:dyDescent="0.25">
      <c r="A1972" s="11"/>
      <c r="B1972" s="29"/>
      <c r="C1972" s="29"/>
      <c r="D1972" s="261"/>
      <c r="E1972" s="278"/>
      <c r="F1972" s="279" t="s">
        <v>677</v>
      </c>
      <c r="G1972" s="258"/>
      <c r="H1972" s="259"/>
      <c r="I1972" s="259"/>
      <c r="J1972" s="259"/>
      <c r="K1972" s="259"/>
      <c r="L1972" s="259"/>
      <c r="M1972" s="258"/>
      <c r="N1972" s="259"/>
      <c r="O1972" s="260"/>
      <c r="P1972" s="415">
        <f>'[1]5.LO'!E150</f>
        <v>0</v>
      </c>
      <c r="Q1972" s="416"/>
      <c r="R1972" s="416"/>
      <c r="S1972" s="416"/>
      <c r="T1972" s="416"/>
      <c r="U1972" s="417"/>
      <c r="V1972" s="23"/>
    </row>
    <row r="1973" spans="1:32" s="16" customFormat="1" ht="21.75" customHeight="1" x14ac:dyDescent="0.2">
      <c r="A1973" s="11"/>
      <c r="B1973" s="29"/>
      <c r="C1973" s="29"/>
      <c r="D1973" s="491" t="s">
        <v>678</v>
      </c>
      <c r="E1973" s="492"/>
      <c r="F1973" s="492"/>
      <c r="G1973" s="492"/>
      <c r="H1973" s="492"/>
      <c r="I1973" s="492"/>
      <c r="J1973" s="492"/>
      <c r="K1973" s="492"/>
      <c r="L1973" s="492"/>
      <c r="M1973" s="492"/>
      <c r="N1973" s="492"/>
      <c r="O1973" s="493"/>
      <c r="P1973" s="494">
        <f>P1959+P1958+P1956</f>
        <v>0</v>
      </c>
      <c r="Q1973" s="495"/>
      <c r="R1973" s="495"/>
      <c r="S1973" s="495"/>
      <c r="T1973" s="495"/>
      <c r="U1973" s="496"/>
      <c r="V1973" s="23"/>
    </row>
    <row r="1974" spans="1:32" s="16" customFormat="1" ht="21.75" customHeight="1" x14ac:dyDescent="0.2">
      <c r="A1974" s="11"/>
      <c r="B1974" s="29"/>
      <c r="C1974" s="29"/>
      <c r="D1974" s="284"/>
      <c r="E1974" s="284"/>
      <c r="F1974" s="284"/>
      <c r="G1974" s="284"/>
      <c r="H1974" s="284"/>
      <c r="I1974" s="284"/>
      <c r="J1974" s="284"/>
      <c r="K1974" s="284"/>
      <c r="L1974" s="284"/>
      <c r="M1974" s="284"/>
      <c r="N1974" s="284"/>
      <c r="O1974" s="284"/>
      <c r="P1974" s="285"/>
      <c r="Q1974" s="285"/>
      <c r="R1974" s="285"/>
      <c r="S1974" s="285"/>
      <c r="T1974" s="285"/>
      <c r="U1974" s="77"/>
      <c r="V1974" s="23"/>
    </row>
    <row r="1975" spans="1:32" s="16" customFormat="1" ht="21.75" customHeight="1" x14ac:dyDescent="0.2">
      <c r="A1975" s="11"/>
      <c r="B1975" s="409" t="s">
        <v>679</v>
      </c>
      <c r="C1975" s="409"/>
      <c r="D1975" s="409"/>
      <c r="E1975" s="409"/>
      <c r="F1975" s="409"/>
      <c r="G1975" s="409"/>
      <c r="H1975" s="409"/>
      <c r="I1975" s="409"/>
      <c r="J1975" s="409"/>
      <c r="K1975" s="409"/>
      <c r="L1975" s="409"/>
      <c r="M1975" s="409"/>
      <c r="N1975" s="409"/>
      <c r="O1975" s="409"/>
      <c r="P1975" s="409"/>
      <c r="Q1975" s="409"/>
      <c r="R1975" s="409"/>
      <c r="S1975" s="409"/>
      <c r="T1975" s="409"/>
      <c r="U1975" s="409"/>
      <c r="V1975" s="23"/>
    </row>
    <row r="1976" spans="1:32" s="16" customFormat="1" ht="63.75" customHeight="1" x14ac:dyDescent="0.2">
      <c r="A1976" s="11"/>
      <c r="C1976" s="407" t="str">
        <f>"Beban sesuai PSAP 12 adalah kewajiban yang diakui sebagai pengurangan nilai kekayaan bersih. Adapun realisasi beban Tahun Anggaran "&amp;'[1]2.ISIAN DATA SKPD'!D11&amp;" dan tahun "&amp;'[1]2.ISIAN DATA SKPD'!D12&amp;" adalah masing-masing sebesar Rp. "&amp;FIXED(J1993)&amp;",- dan  Rp. "&amp;FIXED(P1993)&amp;".  "</f>
        <v xml:space="preserve">Beban sesuai PSAP 12 adalah kewajiban yang diakui sebagai pengurangan nilai kekayaan bersih. Adapun realisasi beban Tahun Anggaran 2018 dan tahun 2017 adalah masing-masing sebesar Rp. 9.760.716.238,00,- dan  Rp. 6.365.439.461,90.  </v>
      </c>
      <c r="D1976" s="407"/>
      <c r="E1976" s="407"/>
      <c r="F1976" s="407"/>
      <c r="G1976" s="407"/>
      <c r="H1976" s="407"/>
      <c r="I1976" s="407"/>
      <c r="J1976" s="407"/>
      <c r="K1976" s="407"/>
      <c r="L1976" s="407"/>
      <c r="M1976" s="407"/>
      <c r="N1976" s="407"/>
      <c r="O1976" s="407"/>
      <c r="P1976" s="407"/>
      <c r="Q1976" s="407"/>
      <c r="R1976" s="407"/>
      <c r="S1976" s="407"/>
      <c r="T1976" s="407"/>
      <c r="U1976" s="407"/>
      <c r="V1976" s="23"/>
    </row>
    <row r="1977" spans="1:32" s="16" customFormat="1" ht="34.5" customHeight="1" x14ac:dyDescent="0.2">
      <c r="A1977" s="11"/>
      <c r="C1977" s="407" t="str">
        <f>"Mengalami kenaikan sebesar Rp. "&amp;FIXED(AC1993)&amp;" atau sebesar "&amp;FIXED(Y1993)&amp;"% dari tahun "&amp;'[1]2.ISIAN DATA SKPD'!D12&amp;"."</f>
        <v>Mengalami kenaikan sebesar Rp. 3.395.276.776,10 atau sebesar 53,34% dari tahun 2017.</v>
      </c>
      <c r="D1977" s="407"/>
      <c r="E1977" s="407"/>
      <c r="F1977" s="407"/>
      <c r="G1977" s="407"/>
      <c r="H1977" s="407"/>
      <c r="I1977" s="407"/>
      <c r="J1977" s="407"/>
      <c r="K1977" s="407"/>
      <c r="L1977" s="407"/>
      <c r="M1977" s="407"/>
      <c r="N1977" s="407"/>
      <c r="O1977" s="407"/>
      <c r="P1977" s="407"/>
      <c r="Q1977" s="407"/>
      <c r="R1977" s="407"/>
      <c r="S1977" s="407"/>
      <c r="T1977" s="407"/>
      <c r="U1977" s="407"/>
      <c r="V1977" s="23"/>
    </row>
    <row r="1978" spans="1:32" s="16" customFormat="1" ht="19.5" customHeight="1" x14ac:dyDescent="0.2">
      <c r="A1978" s="11"/>
      <c r="C1978" s="77"/>
      <c r="D1978" s="77"/>
      <c r="E1978" s="77"/>
      <c r="F1978" s="77"/>
      <c r="G1978" s="77"/>
      <c r="H1978" s="77"/>
      <c r="I1978" s="77"/>
      <c r="J1978" s="77"/>
      <c r="K1978" s="77"/>
      <c r="L1978" s="77"/>
      <c r="M1978" s="77"/>
      <c r="N1978" s="77"/>
      <c r="O1978" s="77"/>
      <c r="P1978" s="77"/>
      <c r="Q1978" s="77"/>
      <c r="R1978" s="77"/>
      <c r="S1978" s="77"/>
      <c r="T1978" s="77"/>
      <c r="U1978" s="77"/>
      <c r="V1978" s="23"/>
    </row>
    <row r="1979" spans="1:32" s="16" customFormat="1" ht="21.75" customHeight="1" x14ac:dyDescent="0.2">
      <c r="A1979" s="11"/>
      <c r="B1979" s="29"/>
      <c r="C1979" s="452" t="str">
        <f>"Rincian Beban  Tahun "&amp;'[1]2.ISIAN DATA SKPD'!D11&amp;" dan "&amp;'[1]2.ISIAN DATA SKPD'!D12&amp;""</f>
        <v>Rincian Beban  Tahun 2018 dan 2017</v>
      </c>
      <c r="D1979" s="452"/>
      <c r="E1979" s="452"/>
      <c r="F1979" s="452"/>
      <c r="G1979" s="452"/>
      <c r="H1979" s="452"/>
      <c r="I1979" s="452"/>
      <c r="J1979" s="452"/>
      <c r="K1979" s="452"/>
      <c r="L1979" s="452"/>
      <c r="M1979" s="452"/>
      <c r="N1979" s="452"/>
      <c r="O1979" s="452"/>
      <c r="P1979" s="490"/>
      <c r="Q1979" s="490"/>
      <c r="R1979" s="490"/>
      <c r="S1979" s="490"/>
      <c r="T1979" s="490"/>
      <c r="U1979" s="29"/>
      <c r="V1979" s="23"/>
    </row>
    <row r="1980" spans="1:32" s="16" customFormat="1" ht="21.75" customHeight="1" x14ac:dyDescent="0.2">
      <c r="A1980" s="11"/>
      <c r="B1980" s="29"/>
      <c r="C1980" s="425" t="s">
        <v>125</v>
      </c>
      <c r="D1980" s="426"/>
      <c r="E1980" s="426"/>
      <c r="F1980" s="426"/>
      <c r="G1980" s="426"/>
      <c r="H1980" s="426"/>
      <c r="I1980" s="427"/>
      <c r="J1980" s="425" t="str">
        <f>G1784</f>
        <v>TA 2018</v>
      </c>
      <c r="K1980" s="426"/>
      <c r="L1980" s="426"/>
      <c r="M1980" s="426"/>
      <c r="N1980" s="426"/>
      <c r="O1980" s="427"/>
      <c r="P1980" s="425" t="str">
        <f>M1784</f>
        <v>TA 2017</v>
      </c>
      <c r="Q1980" s="426"/>
      <c r="R1980" s="426"/>
      <c r="S1980" s="426"/>
      <c r="T1980" s="426"/>
      <c r="U1980" s="427"/>
      <c r="V1980" s="487"/>
      <c r="W1980" s="480"/>
      <c r="X1980" s="480"/>
      <c r="Y1980" s="471" t="s">
        <v>449</v>
      </c>
      <c r="Z1980" s="480"/>
      <c r="AA1980" s="480"/>
      <c r="AB1980" s="480"/>
      <c r="AC1980" s="488" t="s">
        <v>438</v>
      </c>
      <c r="AD1980" s="489"/>
      <c r="AE1980" s="489"/>
      <c r="AF1980" s="489"/>
    </row>
    <row r="1981" spans="1:32" s="16" customFormat="1" ht="14.25" customHeight="1" x14ac:dyDescent="0.25">
      <c r="A1981" s="286"/>
      <c r="B1981" s="29"/>
      <c r="C1981" s="287" t="s">
        <v>680</v>
      </c>
      <c r="D1981" s="288"/>
      <c r="E1981" s="288"/>
      <c r="F1981" s="288"/>
      <c r="G1981" s="288"/>
      <c r="H1981" s="288"/>
      <c r="I1981" s="288"/>
      <c r="J1981" s="473">
        <f>'[1]5.LO'!E154</f>
        <v>4173787469</v>
      </c>
      <c r="K1981" s="474"/>
      <c r="L1981" s="474"/>
      <c r="M1981" s="474"/>
      <c r="N1981" s="474"/>
      <c r="O1981" s="475"/>
      <c r="P1981" s="476">
        <f>'[1]5.LO'!F154</f>
        <v>3243643051</v>
      </c>
      <c r="Q1981" s="477"/>
      <c r="R1981" s="477"/>
      <c r="S1981" s="477"/>
      <c r="T1981" s="477"/>
      <c r="U1981" s="478"/>
      <c r="V1981" s="479"/>
      <c r="W1981" s="480"/>
      <c r="X1981" s="480"/>
      <c r="Y1981" s="471">
        <f>(J1981-P1981)/P1981*100</f>
        <v>28.675917891558406</v>
      </c>
      <c r="Z1981" s="480"/>
      <c r="AA1981" s="480"/>
      <c r="AB1981" s="480"/>
      <c r="AC1981" s="471">
        <f>J1981-P1981</f>
        <v>930144418</v>
      </c>
      <c r="AD1981" s="472"/>
      <c r="AE1981" s="472"/>
      <c r="AF1981" s="472"/>
    </row>
    <row r="1982" spans="1:32" s="16" customFormat="1" ht="14.25" customHeight="1" x14ac:dyDescent="0.25">
      <c r="A1982" s="286"/>
      <c r="B1982" s="29"/>
      <c r="C1982" s="287" t="s">
        <v>23</v>
      </c>
      <c r="D1982" s="288"/>
      <c r="E1982" s="288"/>
      <c r="F1982" s="288"/>
      <c r="G1982" s="288"/>
      <c r="H1982" s="288"/>
      <c r="I1982" s="288"/>
      <c r="J1982" s="473">
        <f>'[1]5.LO'!E220</f>
        <v>608396450</v>
      </c>
      <c r="K1982" s="474"/>
      <c r="L1982" s="474"/>
      <c r="M1982" s="474"/>
      <c r="N1982" s="474"/>
      <c r="O1982" s="475"/>
      <c r="P1982" s="476">
        <f>'[1]5.LO'!F220</f>
        <v>818335250</v>
      </c>
      <c r="Q1982" s="477"/>
      <c r="R1982" s="477"/>
      <c r="S1982" s="477"/>
      <c r="T1982" s="477"/>
      <c r="U1982" s="478"/>
      <c r="V1982" s="479"/>
      <c r="W1982" s="480"/>
      <c r="X1982" s="480"/>
      <c r="Y1982" s="471">
        <f t="shared" ref="Y1982:Y1993" si="39">(J1982-P1982)/P1982*100</f>
        <v>-25.65437575859038</v>
      </c>
      <c r="Z1982" s="480"/>
      <c r="AA1982" s="480"/>
      <c r="AB1982" s="480"/>
      <c r="AC1982" s="471">
        <f t="shared" ref="AC1982:AC1993" si="40">J1982-P1982</f>
        <v>-209938800</v>
      </c>
      <c r="AD1982" s="472"/>
      <c r="AE1982" s="472"/>
      <c r="AF1982" s="472"/>
    </row>
    <row r="1983" spans="1:32" s="16" customFormat="1" ht="14.25" customHeight="1" x14ac:dyDescent="0.25">
      <c r="A1983" s="286"/>
      <c r="B1983" s="29"/>
      <c r="C1983" s="287" t="s">
        <v>24</v>
      </c>
      <c r="D1983" s="288"/>
      <c r="E1983" s="288"/>
      <c r="F1983" s="288"/>
      <c r="G1983" s="288"/>
      <c r="H1983" s="288"/>
      <c r="I1983" s="288"/>
      <c r="J1983" s="473">
        <f>'[1]5.LO'!E253</f>
        <v>3511494582</v>
      </c>
      <c r="K1983" s="474"/>
      <c r="L1983" s="474"/>
      <c r="M1983" s="474"/>
      <c r="N1983" s="474"/>
      <c r="O1983" s="475"/>
      <c r="P1983" s="476">
        <f>'[1]5.LO'!F253</f>
        <v>1513121353</v>
      </c>
      <c r="Q1983" s="477"/>
      <c r="R1983" s="477"/>
      <c r="S1983" s="477"/>
      <c r="T1983" s="477"/>
      <c r="U1983" s="478"/>
      <c r="V1983" s="479"/>
      <c r="W1983" s="480"/>
      <c r="X1983" s="480"/>
      <c r="Y1983" s="471">
        <f t="shared" si="39"/>
        <v>132.06959409025006</v>
      </c>
      <c r="Z1983" s="480"/>
      <c r="AA1983" s="480"/>
      <c r="AB1983" s="480"/>
      <c r="AC1983" s="471">
        <f t="shared" si="40"/>
        <v>1998373229</v>
      </c>
      <c r="AD1983" s="472"/>
      <c r="AE1983" s="472"/>
      <c r="AF1983" s="472"/>
    </row>
    <row r="1984" spans="1:32" s="16" customFormat="1" ht="14.25" customHeight="1" x14ac:dyDescent="0.25">
      <c r="A1984" s="286"/>
      <c r="B1984" s="29"/>
      <c r="C1984" s="287" t="s">
        <v>25</v>
      </c>
      <c r="D1984" s="288"/>
      <c r="E1984" s="288"/>
      <c r="F1984" s="288"/>
      <c r="G1984" s="288"/>
      <c r="H1984" s="288"/>
      <c r="I1984" s="288"/>
      <c r="J1984" s="473">
        <f>'[1]5.LO'!E361</f>
        <v>0</v>
      </c>
      <c r="K1984" s="474"/>
      <c r="L1984" s="474"/>
      <c r="M1984" s="474"/>
      <c r="N1984" s="474"/>
      <c r="O1984" s="475"/>
      <c r="P1984" s="476">
        <f>'[1]5.LO'!F361</f>
        <v>70118478</v>
      </c>
      <c r="Q1984" s="477"/>
      <c r="R1984" s="477"/>
      <c r="S1984" s="477"/>
      <c r="T1984" s="477"/>
      <c r="U1984" s="478"/>
      <c r="V1984" s="479"/>
      <c r="W1984" s="480"/>
      <c r="X1984" s="480"/>
      <c r="Y1984" s="471">
        <f t="shared" si="39"/>
        <v>-100</v>
      </c>
      <c r="Z1984" s="480"/>
      <c r="AA1984" s="480"/>
      <c r="AB1984" s="480"/>
      <c r="AC1984" s="471">
        <f t="shared" si="40"/>
        <v>-70118478</v>
      </c>
      <c r="AD1984" s="472"/>
      <c r="AE1984" s="472"/>
      <c r="AF1984" s="472"/>
    </row>
    <row r="1985" spans="1:32" s="16" customFormat="1" ht="14.25" customHeight="1" x14ac:dyDescent="0.25">
      <c r="A1985" s="286"/>
      <c r="B1985" s="29"/>
      <c r="C1985" s="287" t="s">
        <v>26</v>
      </c>
      <c r="D1985" s="288"/>
      <c r="E1985" s="288"/>
      <c r="F1985" s="288"/>
      <c r="G1985" s="288"/>
      <c r="H1985" s="288"/>
      <c r="I1985" s="288"/>
      <c r="J1985" s="473">
        <f>'[1]5.LO'!E374</f>
        <v>512102737</v>
      </c>
      <c r="K1985" s="474"/>
      <c r="L1985" s="474"/>
      <c r="M1985" s="474"/>
      <c r="N1985" s="474"/>
      <c r="O1985" s="475"/>
      <c r="P1985" s="476">
        <f>'[1]5.LO'!F374</f>
        <v>170430568</v>
      </c>
      <c r="Q1985" s="477"/>
      <c r="R1985" s="477"/>
      <c r="S1985" s="477"/>
      <c r="T1985" s="477"/>
      <c r="U1985" s="478"/>
      <c r="V1985" s="479"/>
      <c r="W1985" s="480"/>
      <c r="X1985" s="480"/>
      <c r="Y1985" s="471">
        <f t="shared" si="39"/>
        <v>200.47587296663824</v>
      </c>
      <c r="Z1985" s="480"/>
      <c r="AA1985" s="480"/>
      <c r="AB1985" s="480"/>
      <c r="AC1985" s="471">
        <f t="shared" si="40"/>
        <v>341672169</v>
      </c>
      <c r="AD1985" s="472"/>
      <c r="AE1985" s="472"/>
      <c r="AF1985" s="472"/>
    </row>
    <row r="1986" spans="1:32" s="16" customFormat="1" ht="14.25" customHeight="1" x14ac:dyDescent="0.25">
      <c r="A1986" s="286"/>
      <c r="B1986" s="29"/>
      <c r="C1986" s="287" t="s">
        <v>27</v>
      </c>
      <c r="D1986" s="288"/>
      <c r="E1986" s="288"/>
      <c r="F1986" s="288"/>
      <c r="G1986" s="288"/>
      <c r="H1986" s="288"/>
      <c r="I1986" s="288"/>
      <c r="J1986" s="473">
        <f>'[1]5.LO'!E381</f>
        <v>0</v>
      </c>
      <c r="K1986" s="474"/>
      <c r="L1986" s="474"/>
      <c r="M1986" s="474"/>
      <c r="N1986" s="474"/>
      <c r="O1986" s="475"/>
      <c r="P1986" s="476">
        <f>'[1]5.LO'!F381</f>
        <v>0</v>
      </c>
      <c r="Q1986" s="477"/>
      <c r="R1986" s="477"/>
      <c r="S1986" s="477"/>
      <c r="T1986" s="477"/>
      <c r="U1986" s="478"/>
      <c r="V1986" s="479"/>
      <c r="W1986" s="480"/>
      <c r="X1986" s="480"/>
      <c r="Y1986" s="471" t="e">
        <f t="shared" si="39"/>
        <v>#DIV/0!</v>
      </c>
      <c r="Z1986" s="480"/>
      <c r="AA1986" s="480"/>
      <c r="AB1986" s="480"/>
      <c r="AC1986" s="471">
        <f t="shared" si="40"/>
        <v>0</v>
      </c>
      <c r="AD1986" s="472"/>
      <c r="AE1986" s="472"/>
      <c r="AF1986" s="472"/>
    </row>
    <row r="1987" spans="1:32" s="16" customFormat="1" ht="14.25" customHeight="1" x14ac:dyDescent="0.25">
      <c r="A1987" s="286"/>
      <c r="B1987" s="29"/>
      <c r="C1987" s="287" t="s">
        <v>28</v>
      </c>
      <c r="D1987" s="288"/>
      <c r="E1987" s="288"/>
      <c r="F1987" s="288"/>
      <c r="G1987" s="288"/>
      <c r="H1987" s="288"/>
      <c r="I1987" s="288"/>
      <c r="J1987" s="473">
        <f>'[1]5.LO'!E382</f>
        <v>0</v>
      </c>
      <c r="K1987" s="474"/>
      <c r="L1987" s="474"/>
      <c r="M1987" s="474"/>
      <c r="N1987" s="474"/>
      <c r="O1987" s="475"/>
      <c r="P1987" s="476">
        <f>'[1]5.LO'!F382</f>
        <v>0</v>
      </c>
      <c r="Q1987" s="477"/>
      <c r="R1987" s="477"/>
      <c r="S1987" s="477"/>
      <c r="T1987" s="477"/>
      <c r="U1987" s="478"/>
      <c r="V1987" s="479"/>
      <c r="W1987" s="480"/>
      <c r="X1987" s="480"/>
      <c r="Y1987" s="471" t="e">
        <f t="shared" si="39"/>
        <v>#DIV/0!</v>
      </c>
      <c r="Z1987" s="480"/>
      <c r="AA1987" s="480"/>
      <c r="AB1987" s="480"/>
      <c r="AC1987" s="471">
        <f t="shared" si="40"/>
        <v>0</v>
      </c>
      <c r="AD1987" s="472"/>
      <c r="AE1987" s="472"/>
      <c r="AF1987" s="472"/>
    </row>
    <row r="1988" spans="1:32" s="16" customFormat="1" ht="14.25" customHeight="1" x14ac:dyDescent="0.25">
      <c r="A1988" s="286"/>
      <c r="B1988" s="29"/>
      <c r="C1988" s="287" t="s">
        <v>29</v>
      </c>
      <c r="D1988" s="288"/>
      <c r="E1988" s="288"/>
      <c r="F1988" s="288"/>
      <c r="G1988" s="288"/>
      <c r="H1988" s="288"/>
      <c r="I1988" s="288"/>
      <c r="J1988" s="473">
        <f>'[1]5.LO'!E383</f>
        <v>954935000</v>
      </c>
      <c r="K1988" s="474"/>
      <c r="L1988" s="474"/>
      <c r="M1988" s="474"/>
      <c r="N1988" s="474"/>
      <c r="O1988" s="475"/>
      <c r="P1988" s="476">
        <f>'[1]5.LO'!F383</f>
        <v>327696600</v>
      </c>
      <c r="Q1988" s="477"/>
      <c r="R1988" s="477"/>
      <c r="S1988" s="477"/>
      <c r="T1988" s="477"/>
      <c r="U1988" s="478"/>
      <c r="V1988" s="479"/>
      <c r="W1988" s="480"/>
      <c r="X1988" s="480"/>
      <c r="Y1988" s="471">
        <f t="shared" si="39"/>
        <v>191.40827216394678</v>
      </c>
      <c r="Z1988" s="480"/>
      <c r="AA1988" s="480"/>
      <c r="AB1988" s="480"/>
      <c r="AC1988" s="471">
        <f t="shared" si="40"/>
        <v>627238400</v>
      </c>
      <c r="AD1988" s="472"/>
      <c r="AE1988" s="472"/>
      <c r="AF1988" s="472"/>
    </row>
    <row r="1989" spans="1:32" s="16" customFormat="1" ht="14.25" customHeight="1" x14ac:dyDescent="0.25">
      <c r="A1989" s="286"/>
      <c r="B1989" s="29"/>
      <c r="C1989" s="287" t="s">
        <v>30</v>
      </c>
      <c r="D1989" s="288"/>
      <c r="E1989" s="288"/>
      <c r="F1989" s="288"/>
      <c r="G1989" s="288"/>
      <c r="H1989" s="288"/>
      <c r="I1989" s="288"/>
      <c r="J1989" s="473">
        <f>'[1]5.LO'!E401</f>
        <v>0</v>
      </c>
      <c r="K1989" s="474"/>
      <c r="L1989" s="474"/>
      <c r="M1989" s="474"/>
      <c r="N1989" s="474"/>
      <c r="O1989" s="475"/>
      <c r="P1989" s="476">
        <f>'[1]5.LO'!F401</f>
        <v>0</v>
      </c>
      <c r="Q1989" s="477"/>
      <c r="R1989" s="477"/>
      <c r="S1989" s="477"/>
      <c r="T1989" s="477"/>
      <c r="U1989" s="478"/>
      <c r="V1989" s="479"/>
      <c r="W1989" s="480"/>
      <c r="X1989" s="480"/>
      <c r="Y1989" s="471" t="e">
        <f t="shared" si="39"/>
        <v>#DIV/0!</v>
      </c>
      <c r="Z1989" s="480"/>
      <c r="AA1989" s="480"/>
      <c r="AB1989" s="480"/>
      <c r="AC1989" s="471">
        <f t="shared" si="40"/>
        <v>0</v>
      </c>
      <c r="AD1989" s="472"/>
      <c r="AE1989" s="472"/>
      <c r="AF1989" s="472"/>
    </row>
    <row r="1990" spans="1:32" s="16" customFormat="1" ht="14.25" customHeight="1" x14ac:dyDescent="0.25">
      <c r="A1990" s="286"/>
      <c r="B1990" s="29"/>
      <c r="C1990" s="287" t="s">
        <v>31</v>
      </c>
      <c r="D1990" s="288"/>
      <c r="E1990" s="288"/>
      <c r="F1990" s="288"/>
      <c r="G1990" s="288"/>
      <c r="H1990" s="288"/>
      <c r="I1990" s="288"/>
      <c r="J1990" s="473">
        <f>'[1]5.LO'!E410</f>
        <v>0</v>
      </c>
      <c r="K1990" s="474"/>
      <c r="L1990" s="474"/>
      <c r="M1990" s="474"/>
      <c r="N1990" s="474"/>
      <c r="O1990" s="475"/>
      <c r="P1990" s="476">
        <f>'[1]5.LO'!F410</f>
        <v>222094161.90000001</v>
      </c>
      <c r="Q1990" s="477"/>
      <c r="R1990" s="477"/>
      <c r="S1990" s="477"/>
      <c r="T1990" s="477"/>
      <c r="U1990" s="478"/>
      <c r="V1990" s="479"/>
      <c r="W1990" s="480"/>
      <c r="X1990" s="480"/>
      <c r="Y1990" s="471">
        <f t="shared" si="39"/>
        <v>-100</v>
      </c>
      <c r="Z1990" s="480"/>
      <c r="AA1990" s="480"/>
      <c r="AB1990" s="480"/>
      <c r="AC1990" s="471">
        <f t="shared" si="40"/>
        <v>-222094161.90000001</v>
      </c>
      <c r="AD1990" s="472"/>
      <c r="AE1990" s="472"/>
      <c r="AF1990" s="472"/>
    </row>
    <row r="1991" spans="1:32" s="16" customFormat="1" ht="14.25" customHeight="1" x14ac:dyDescent="0.25">
      <c r="A1991" s="286"/>
      <c r="B1991" s="29"/>
      <c r="C1991" s="287" t="s">
        <v>681</v>
      </c>
      <c r="D1991" s="288"/>
      <c r="E1991" s="288"/>
      <c r="F1991" s="288"/>
      <c r="G1991" s="288"/>
      <c r="H1991" s="288"/>
      <c r="I1991" s="288"/>
      <c r="J1991" s="473">
        <f>'[1]5.LO'!E415</f>
        <v>0</v>
      </c>
      <c r="K1991" s="474"/>
      <c r="L1991" s="474"/>
      <c r="M1991" s="474"/>
      <c r="N1991" s="474"/>
      <c r="O1991" s="475"/>
      <c r="P1991" s="476">
        <f>'[1]5.LO'!F415</f>
        <v>0</v>
      </c>
      <c r="Q1991" s="477"/>
      <c r="R1991" s="477"/>
      <c r="S1991" s="477"/>
      <c r="T1991" s="477"/>
      <c r="U1991" s="478"/>
      <c r="V1991" s="479"/>
      <c r="W1991" s="480"/>
      <c r="X1991" s="480"/>
      <c r="Y1991" s="471" t="e">
        <f t="shared" si="39"/>
        <v>#DIV/0!</v>
      </c>
      <c r="Z1991" s="480"/>
      <c r="AA1991" s="480"/>
      <c r="AB1991" s="480"/>
      <c r="AC1991" s="471">
        <f t="shared" si="40"/>
        <v>0</v>
      </c>
      <c r="AD1991" s="472"/>
      <c r="AE1991" s="472"/>
      <c r="AF1991" s="472"/>
    </row>
    <row r="1992" spans="1:32" s="16" customFormat="1" ht="14.25" customHeight="1" x14ac:dyDescent="0.25">
      <c r="A1992" s="286"/>
      <c r="B1992" s="29"/>
      <c r="C1992" s="287" t="s">
        <v>32</v>
      </c>
      <c r="D1992" s="288"/>
      <c r="E1992" s="288"/>
      <c r="F1992" s="288"/>
      <c r="G1992" s="288"/>
      <c r="H1992" s="288"/>
      <c r="I1992" s="288"/>
      <c r="J1992" s="473">
        <f>'[1]5.LO'!E436</f>
        <v>0</v>
      </c>
      <c r="K1992" s="474"/>
      <c r="L1992" s="474"/>
      <c r="M1992" s="474"/>
      <c r="N1992" s="474"/>
      <c r="O1992" s="475"/>
      <c r="P1992" s="476">
        <f>'[1]5.LO'!F436</f>
        <v>0</v>
      </c>
      <c r="Q1992" s="477"/>
      <c r="R1992" s="477"/>
      <c r="S1992" s="477"/>
      <c r="T1992" s="477"/>
      <c r="U1992" s="478"/>
      <c r="V1992" s="479"/>
      <c r="W1992" s="480"/>
      <c r="X1992" s="480"/>
      <c r="Y1992" s="471" t="e">
        <f t="shared" si="39"/>
        <v>#DIV/0!</v>
      </c>
      <c r="Z1992" s="480"/>
      <c r="AA1992" s="480"/>
      <c r="AB1992" s="480"/>
      <c r="AC1992" s="471">
        <f t="shared" si="40"/>
        <v>0</v>
      </c>
      <c r="AD1992" s="472"/>
      <c r="AE1992" s="472"/>
      <c r="AF1992" s="472"/>
    </row>
    <row r="1993" spans="1:32" s="16" customFormat="1" ht="21.75" customHeight="1" x14ac:dyDescent="0.2">
      <c r="A1993" s="11"/>
      <c r="B1993" s="29"/>
      <c r="C1993" s="481" t="s">
        <v>205</v>
      </c>
      <c r="D1993" s="482"/>
      <c r="E1993" s="482"/>
      <c r="F1993" s="482"/>
      <c r="G1993" s="482"/>
      <c r="H1993" s="482"/>
      <c r="I1993" s="483"/>
      <c r="J1993" s="484">
        <f>SUM(J1981:O1992)</f>
        <v>9760716238</v>
      </c>
      <c r="K1993" s="485"/>
      <c r="L1993" s="485"/>
      <c r="M1993" s="485"/>
      <c r="N1993" s="485"/>
      <c r="O1993" s="486"/>
      <c r="P1993" s="484">
        <f>SUM(P1981:T1992)</f>
        <v>6365439461.8999996</v>
      </c>
      <c r="Q1993" s="485"/>
      <c r="R1993" s="485"/>
      <c r="S1993" s="485"/>
      <c r="T1993" s="485"/>
      <c r="U1993" s="486"/>
      <c r="V1993" s="479"/>
      <c r="W1993" s="480"/>
      <c r="X1993" s="480"/>
      <c r="Y1993" s="471">
        <f t="shared" si="39"/>
        <v>53.339235985547418</v>
      </c>
      <c r="Z1993" s="480"/>
      <c r="AA1993" s="480"/>
      <c r="AB1993" s="480"/>
      <c r="AC1993" s="471">
        <f t="shared" si="40"/>
        <v>3395276776.1000004</v>
      </c>
      <c r="AD1993" s="472"/>
      <c r="AE1993" s="472"/>
      <c r="AF1993" s="472"/>
    </row>
    <row r="1994" spans="1:32" s="16" customFormat="1" ht="21.75" customHeight="1" x14ac:dyDescent="0.2">
      <c r="A1994" s="11"/>
      <c r="B1994" s="29"/>
      <c r="C1994" s="29"/>
      <c r="D1994" s="29"/>
      <c r="E1994" s="29"/>
      <c r="F1994" s="29"/>
      <c r="G1994" s="29"/>
      <c r="H1994" s="29"/>
      <c r="I1994" s="29"/>
      <c r="J1994" s="29"/>
      <c r="K1994" s="29"/>
      <c r="L1994" s="29"/>
      <c r="M1994" s="29"/>
      <c r="N1994" s="29"/>
      <c r="O1994" s="29"/>
      <c r="P1994" s="29"/>
      <c r="Q1994" s="29"/>
      <c r="R1994" s="29"/>
      <c r="S1994" s="29"/>
      <c r="T1994" s="29"/>
      <c r="U1994" s="29"/>
      <c r="V1994" s="23"/>
    </row>
    <row r="1995" spans="1:32" s="16" customFormat="1" ht="22.5" customHeight="1" x14ac:dyDescent="0.2">
      <c r="A1995" s="14"/>
      <c r="C1995" s="289" t="s">
        <v>682</v>
      </c>
      <c r="D1995" s="409" t="s">
        <v>680</v>
      </c>
      <c r="E1995" s="409"/>
      <c r="F1995" s="409"/>
      <c r="G1995" s="409"/>
      <c r="H1995" s="409"/>
      <c r="I1995" s="409"/>
      <c r="J1995" s="409"/>
      <c r="K1995" s="409"/>
      <c r="L1995" s="409"/>
      <c r="M1995" s="409"/>
      <c r="N1995" s="409"/>
      <c r="O1995" s="409"/>
      <c r="P1995" s="409"/>
      <c r="Q1995" s="409"/>
      <c r="R1995" s="409"/>
      <c r="S1995" s="409"/>
      <c r="T1995" s="409"/>
      <c r="U1995" s="409"/>
      <c r="V1995" s="23"/>
    </row>
    <row r="1996" spans="1:32" s="16" customFormat="1" ht="68.25" customHeight="1" x14ac:dyDescent="0.2">
      <c r="A1996" s="14"/>
      <c r="C1996" s="29"/>
      <c r="D1996" s="407" t="str">
        <f>"Jumlah Beban Pegawai pada Tahun "&amp;'[1]2.ISIAN DATA SKPD'!D11&amp;" dan tahun "&amp;'[1]2.ISIAN DATA SKPD'!D12&amp;" masing-masing   sebesar Rp. "&amp;FIXED(J1981)&amp;" dan "&amp;FIXED(P1981)&amp;" mengalami kenaikan sebesar Rp. "&amp;FIXED(AC1981)&amp;" atau sebesar "&amp;FIXED(Y1981)&amp;"%  dari tahun "&amp;'[1]2.ISIAN DATA SKPD'!D12&amp;"."</f>
        <v>Jumlah Beban Pegawai pada Tahun 2018 dan tahun 2017 masing-masing   sebesar Rp. 4.173.787.469,00 dan 3.243.643.051,00 mengalami kenaikan sebesar Rp. 930.144.418,00 atau sebesar 28,68%  dari tahun 2017.</v>
      </c>
      <c r="E1996" s="407"/>
      <c r="F1996" s="407"/>
      <c r="G1996" s="407"/>
      <c r="H1996" s="407"/>
      <c r="I1996" s="407"/>
      <c r="J1996" s="407"/>
      <c r="K1996" s="407"/>
      <c r="L1996" s="407"/>
      <c r="M1996" s="407"/>
      <c r="N1996" s="407"/>
      <c r="O1996" s="407"/>
      <c r="P1996" s="407"/>
      <c r="Q1996" s="407"/>
      <c r="R1996" s="407"/>
      <c r="S1996" s="407"/>
      <c r="T1996" s="407"/>
      <c r="U1996" s="407"/>
      <c r="V1996" s="23"/>
    </row>
    <row r="1997" spans="1:32" s="16" customFormat="1" ht="108" customHeight="1" x14ac:dyDescent="0.2">
      <c r="A1997" s="14"/>
      <c r="C1997" s="29"/>
      <c r="D1997" s="407" t="s">
        <v>683</v>
      </c>
      <c r="E1997" s="407"/>
      <c r="F1997" s="407"/>
      <c r="G1997" s="407"/>
      <c r="H1997" s="407"/>
      <c r="I1997" s="407"/>
      <c r="J1997" s="407"/>
      <c r="K1997" s="407"/>
      <c r="L1997" s="407"/>
      <c r="M1997" s="407"/>
      <c r="N1997" s="407"/>
      <c r="O1997" s="407"/>
      <c r="P1997" s="407"/>
      <c r="Q1997" s="407"/>
      <c r="R1997" s="407"/>
      <c r="S1997" s="407"/>
      <c r="T1997" s="407"/>
      <c r="U1997" s="407"/>
      <c r="V1997" s="23"/>
    </row>
    <row r="1998" spans="1:32" s="16" customFormat="1" ht="29.25" customHeight="1" x14ac:dyDescent="0.2">
      <c r="A1998" s="14"/>
      <c r="C1998" s="290"/>
      <c r="D1998" s="424" t="str">
        <f>"Rincian Beban Pegawai Tahun "&amp;'[1]2.ISIAN DATA SKPD'!D11&amp;""</f>
        <v>Rincian Beban Pegawai Tahun 2018</v>
      </c>
      <c r="E1998" s="424"/>
      <c r="F1998" s="424"/>
      <c r="G1998" s="424"/>
      <c r="H1998" s="424"/>
      <c r="I1998" s="424"/>
      <c r="J1998" s="424"/>
      <c r="K1998" s="424"/>
      <c r="L1998" s="424"/>
      <c r="M1998" s="424"/>
      <c r="N1998" s="424"/>
      <c r="O1998" s="424"/>
      <c r="P1998" s="424"/>
      <c r="Q1998" s="424"/>
      <c r="R1998" s="424"/>
      <c r="S1998" s="424"/>
      <c r="T1998" s="424"/>
      <c r="U1998" s="424"/>
      <c r="V1998" s="23"/>
    </row>
    <row r="1999" spans="1:32" s="16" customFormat="1" ht="22.5" customHeight="1" x14ac:dyDescent="0.2">
      <c r="A1999" s="14"/>
      <c r="D1999" s="425" t="s">
        <v>684</v>
      </c>
      <c r="E1999" s="426"/>
      <c r="F1999" s="426"/>
      <c r="G1999" s="426"/>
      <c r="H1999" s="426"/>
      <c r="I1999" s="426"/>
      <c r="J1999" s="426"/>
      <c r="K1999" s="426"/>
      <c r="L1999" s="426"/>
      <c r="M1999" s="426"/>
      <c r="N1999" s="426"/>
      <c r="O1999" s="427"/>
      <c r="P1999" s="428" t="s">
        <v>205</v>
      </c>
      <c r="Q1999" s="428"/>
      <c r="R1999" s="428"/>
      <c r="S1999" s="428"/>
      <c r="T1999" s="428"/>
      <c r="U1999" s="428"/>
      <c r="V1999" s="23"/>
    </row>
    <row r="2000" spans="1:32" s="16" customFormat="1" ht="14.25" customHeight="1" x14ac:dyDescent="0.2">
      <c r="A2000" s="14"/>
      <c r="D2000" s="291" t="s">
        <v>685</v>
      </c>
      <c r="E2000" s="250"/>
      <c r="F2000" s="250"/>
      <c r="G2000" s="250"/>
      <c r="H2000" s="250"/>
      <c r="I2000" s="250"/>
      <c r="J2000" s="250"/>
      <c r="K2000" s="250"/>
      <c r="L2000" s="250"/>
      <c r="M2000" s="250"/>
      <c r="N2000" s="250"/>
      <c r="O2000" s="250"/>
      <c r="P2000" s="462">
        <f>SUM(P2001:U2021)</f>
        <v>2304187569</v>
      </c>
      <c r="Q2000" s="463"/>
      <c r="R2000" s="463"/>
      <c r="S2000" s="463"/>
      <c r="T2000" s="463"/>
      <c r="U2000" s="464"/>
      <c r="V2000" s="292"/>
    </row>
    <row r="2001" spans="1:22" s="16" customFormat="1" ht="14.25" customHeight="1" x14ac:dyDescent="0.25">
      <c r="A2001" s="14"/>
      <c r="D2001" s="293"/>
      <c r="E2001" s="294" t="s">
        <v>686</v>
      </c>
      <c r="F2001" s="295"/>
      <c r="G2001" s="295"/>
      <c r="H2001" s="295"/>
      <c r="I2001" s="295"/>
      <c r="J2001" s="295"/>
      <c r="K2001" s="295"/>
      <c r="L2001" s="295"/>
      <c r="M2001" s="295"/>
      <c r="N2001" s="295"/>
      <c r="O2001" s="295"/>
      <c r="P2001" s="459">
        <f>'[1]5.LO'!E156</f>
        <v>1774703000</v>
      </c>
      <c r="Q2001" s="460"/>
      <c r="R2001" s="460"/>
      <c r="S2001" s="460"/>
      <c r="T2001" s="460"/>
      <c r="U2001" s="461"/>
      <c r="V2001" s="296"/>
    </row>
    <row r="2002" spans="1:22" s="16" customFormat="1" ht="14.25" customHeight="1" x14ac:dyDescent="0.25">
      <c r="A2002" s="14"/>
      <c r="D2002" s="293"/>
      <c r="E2002" s="294" t="s">
        <v>687</v>
      </c>
      <c r="F2002" s="295"/>
      <c r="G2002" s="295"/>
      <c r="H2002" s="295"/>
      <c r="I2002" s="295"/>
      <c r="J2002" s="295"/>
      <c r="K2002" s="295"/>
      <c r="L2002" s="295"/>
      <c r="M2002" s="295"/>
      <c r="N2002" s="295"/>
      <c r="O2002" s="295"/>
      <c r="P2002" s="459">
        <f>'[1]5.LO'!E157</f>
        <v>201993834</v>
      </c>
      <c r="Q2002" s="460"/>
      <c r="R2002" s="460"/>
      <c r="S2002" s="460"/>
      <c r="T2002" s="460"/>
      <c r="U2002" s="461"/>
      <c r="V2002" s="296"/>
    </row>
    <row r="2003" spans="1:22" s="16" customFormat="1" ht="14.25" customHeight="1" x14ac:dyDescent="0.25">
      <c r="A2003" s="14"/>
      <c r="D2003" s="293"/>
      <c r="E2003" s="294" t="s">
        <v>688</v>
      </c>
      <c r="F2003" s="295"/>
      <c r="G2003" s="295"/>
      <c r="H2003" s="295"/>
      <c r="I2003" s="295"/>
      <c r="J2003" s="295"/>
      <c r="K2003" s="295"/>
      <c r="L2003" s="295"/>
      <c r="M2003" s="295"/>
      <c r="N2003" s="295"/>
      <c r="O2003" s="295"/>
      <c r="P2003" s="459">
        <f>'[1]5.LO'!E158</f>
        <v>142590000</v>
      </c>
      <c r="Q2003" s="460"/>
      <c r="R2003" s="460"/>
      <c r="S2003" s="460"/>
      <c r="T2003" s="460"/>
      <c r="U2003" s="461"/>
      <c r="V2003" s="296"/>
    </row>
    <row r="2004" spans="1:22" s="16" customFormat="1" ht="14.25" customHeight="1" x14ac:dyDescent="0.25">
      <c r="A2004" s="14"/>
      <c r="D2004" s="297"/>
      <c r="E2004" s="294" t="s">
        <v>689</v>
      </c>
      <c r="F2004" s="295"/>
      <c r="G2004" s="295"/>
      <c r="H2004" s="295"/>
      <c r="I2004" s="295"/>
      <c r="J2004" s="295"/>
      <c r="K2004" s="295"/>
      <c r="L2004" s="295"/>
      <c r="M2004" s="295"/>
      <c r="N2004" s="295"/>
      <c r="O2004" s="295"/>
      <c r="P2004" s="459">
        <f>'[1]5.LO'!E159</f>
        <v>0</v>
      </c>
      <c r="Q2004" s="460"/>
      <c r="R2004" s="460"/>
      <c r="S2004" s="460"/>
      <c r="T2004" s="460"/>
      <c r="U2004" s="461"/>
      <c r="V2004" s="296"/>
    </row>
    <row r="2005" spans="1:22" s="16" customFormat="1" ht="14.25" customHeight="1" x14ac:dyDescent="0.25">
      <c r="A2005" s="14"/>
      <c r="D2005" s="293"/>
      <c r="E2005" s="294" t="s">
        <v>690</v>
      </c>
      <c r="F2005" s="295"/>
      <c r="G2005" s="295"/>
      <c r="H2005" s="295"/>
      <c r="I2005" s="295"/>
      <c r="J2005" s="295"/>
      <c r="K2005" s="295"/>
      <c r="L2005" s="295"/>
      <c r="M2005" s="295"/>
      <c r="N2005" s="295"/>
      <c r="O2005" s="295"/>
      <c r="P2005" s="459">
        <f>'[1]5.LO'!E160</f>
        <v>69205000</v>
      </c>
      <c r="Q2005" s="460"/>
      <c r="R2005" s="460"/>
      <c r="S2005" s="460"/>
      <c r="T2005" s="460"/>
      <c r="U2005" s="461"/>
      <c r="V2005" s="296"/>
    </row>
    <row r="2006" spans="1:22" s="16" customFormat="1" ht="14.25" customHeight="1" x14ac:dyDescent="0.25">
      <c r="A2006" s="14"/>
      <c r="D2006" s="293"/>
      <c r="E2006" s="294" t="s">
        <v>691</v>
      </c>
      <c r="F2006" s="295"/>
      <c r="G2006" s="295"/>
      <c r="H2006" s="295"/>
      <c r="I2006" s="295"/>
      <c r="J2006" s="295"/>
      <c r="K2006" s="295"/>
      <c r="L2006" s="295"/>
      <c r="M2006" s="295"/>
      <c r="N2006" s="295"/>
      <c r="O2006" s="295"/>
      <c r="P2006" s="459">
        <f>'[1]5.LO'!E161</f>
        <v>111164700</v>
      </c>
      <c r="Q2006" s="460"/>
      <c r="R2006" s="460"/>
      <c r="S2006" s="460"/>
      <c r="T2006" s="460"/>
      <c r="U2006" s="461"/>
      <c r="V2006" s="296"/>
    </row>
    <row r="2007" spans="1:22" s="16" customFormat="1" ht="14.25" customHeight="1" x14ac:dyDescent="0.25">
      <c r="A2007" s="14"/>
      <c r="D2007" s="293"/>
      <c r="E2007" s="294" t="s">
        <v>692</v>
      </c>
      <c r="F2007" s="295"/>
      <c r="G2007" s="295"/>
      <c r="H2007" s="295"/>
      <c r="I2007" s="295"/>
      <c r="J2007" s="295"/>
      <c r="K2007" s="295"/>
      <c r="L2007" s="295"/>
      <c r="M2007" s="295"/>
      <c r="N2007" s="295"/>
      <c r="O2007" s="295"/>
      <c r="P2007" s="459">
        <f>'[1]5.LO'!E162</f>
        <v>4504214</v>
      </c>
      <c r="Q2007" s="460"/>
      <c r="R2007" s="460"/>
      <c r="S2007" s="460"/>
      <c r="T2007" s="460"/>
      <c r="U2007" s="461"/>
      <c r="V2007" s="296"/>
    </row>
    <row r="2008" spans="1:22" s="16" customFormat="1" ht="14.25" customHeight="1" x14ac:dyDescent="0.25">
      <c r="A2008" s="14"/>
      <c r="D2008" s="293"/>
      <c r="E2008" s="294" t="s">
        <v>693</v>
      </c>
      <c r="F2008" s="295"/>
      <c r="G2008" s="295"/>
      <c r="H2008" s="295"/>
      <c r="I2008" s="295"/>
      <c r="J2008" s="295"/>
      <c r="K2008" s="295"/>
      <c r="L2008" s="295"/>
      <c r="M2008" s="295"/>
      <c r="N2008" s="295"/>
      <c r="O2008" s="295"/>
      <c r="P2008" s="459">
        <f>'[1]5.LO'!E163</f>
        <v>26821</v>
      </c>
      <c r="Q2008" s="460"/>
      <c r="R2008" s="460"/>
      <c r="S2008" s="460"/>
      <c r="T2008" s="460"/>
      <c r="U2008" s="461"/>
      <c r="V2008" s="296"/>
    </row>
    <row r="2009" spans="1:22" s="16" customFormat="1" ht="14.25" customHeight="1" x14ac:dyDescent="0.25">
      <c r="A2009" s="14"/>
      <c r="D2009" s="293"/>
      <c r="E2009" s="294" t="s">
        <v>694</v>
      </c>
      <c r="F2009" s="295"/>
      <c r="G2009" s="295"/>
      <c r="H2009" s="295"/>
      <c r="I2009" s="295"/>
      <c r="J2009" s="295"/>
      <c r="K2009" s="295"/>
      <c r="L2009" s="295"/>
      <c r="M2009" s="295"/>
      <c r="N2009" s="295"/>
      <c r="O2009" s="295"/>
      <c r="P2009" s="459">
        <f>'[1]5.LO'!E164</f>
        <v>0</v>
      </c>
      <c r="Q2009" s="460"/>
      <c r="R2009" s="460"/>
      <c r="S2009" s="460"/>
      <c r="T2009" s="460"/>
      <c r="U2009" s="461"/>
      <c r="V2009" s="296"/>
    </row>
    <row r="2010" spans="1:22" s="16" customFormat="1" ht="14.25" customHeight="1" x14ac:dyDescent="0.25">
      <c r="A2010" s="14"/>
      <c r="D2010" s="293"/>
      <c r="E2010" s="294" t="s">
        <v>695</v>
      </c>
      <c r="F2010" s="295"/>
      <c r="G2010" s="295"/>
      <c r="H2010" s="295"/>
      <c r="I2010" s="295"/>
      <c r="J2010" s="295"/>
      <c r="K2010" s="295"/>
      <c r="L2010" s="295"/>
      <c r="M2010" s="295"/>
      <c r="N2010" s="295"/>
      <c r="O2010" s="295"/>
      <c r="P2010" s="459">
        <f>'[1]5.LO'!E165</f>
        <v>0</v>
      </c>
      <c r="Q2010" s="460"/>
      <c r="R2010" s="460"/>
      <c r="S2010" s="460"/>
      <c r="T2010" s="460"/>
      <c r="U2010" s="461"/>
      <c r="V2010" s="296"/>
    </row>
    <row r="2011" spans="1:22" s="16" customFormat="1" ht="14.25" customHeight="1" x14ac:dyDescent="0.25">
      <c r="A2011" s="14"/>
      <c r="D2011" s="293"/>
      <c r="E2011" s="294" t="s">
        <v>696</v>
      </c>
      <c r="F2011" s="295"/>
      <c r="G2011" s="295"/>
      <c r="H2011" s="295"/>
      <c r="I2011" s="295"/>
      <c r="J2011" s="295"/>
      <c r="K2011" s="295"/>
      <c r="L2011" s="295"/>
      <c r="M2011" s="295"/>
      <c r="N2011" s="295"/>
      <c r="O2011" s="295"/>
      <c r="P2011" s="459">
        <f>'[1]5.LO'!E166</f>
        <v>0</v>
      </c>
      <c r="Q2011" s="460"/>
      <c r="R2011" s="460"/>
      <c r="S2011" s="460"/>
      <c r="T2011" s="460"/>
      <c r="U2011" s="461"/>
      <c r="V2011" s="296"/>
    </row>
    <row r="2012" spans="1:22" s="16" customFormat="1" ht="14.25" customHeight="1" x14ac:dyDescent="0.25">
      <c r="A2012" s="14"/>
      <c r="D2012" s="293"/>
      <c r="E2012" s="294" t="s">
        <v>697</v>
      </c>
      <c r="F2012" s="295"/>
      <c r="G2012" s="295"/>
      <c r="H2012" s="295"/>
      <c r="I2012" s="295"/>
      <c r="J2012" s="295"/>
      <c r="K2012" s="295"/>
      <c r="L2012" s="295"/>
      <c r="M2012" s="295"/>
      <c r="N2012" s="295"/>
      <c r="O2012" s="295"/>
      <c r="P2012" s="459">
        <f>'[1]5.LO'!E167</f>
        <v>0</v>
      </c>
      <c r="Q2012" s="460"/>
      <c r="R2012" s="460"/>
      <c r="S2012" s="460"/>
      <c r="T2012" s="460"/>
      <c r="U2012" s="461"/>
      <c r="V2012" s="296"/>
    </row>
    <row r="2013" spans="1:22" s="16" customFormat="1" ht="14.25" customHeight="1" x14ac:dyDescent="0.25">
      <c r="A2013" s="14"/>
      <c r="D2013" s="297"/>
      <c r="E2013" s="294" t="s">
        <v>698</v>
      </c>
      <c r="F2013" s="295"/>
      <c r="G2013" s="295"/>
      <c r="H2013" s="295"/>
      <c r="I2013" s="295"/>
      <c r="J2013" s="295"/>
      <c r="K2013" s="295"/>
      <c r="L2013" s="295"/>
      <c r="M2013" s="295"/>
      <c r="N2013" s="295"/>
      <c r="O2013" s="295"/>
      <c r="P2013" s="459">
        <f>'[1]5.LO'!E168</f>
        <v>0</v>
      </c>
      <c r="Q2013" s="460"/>
      <c r="R2013" s="460"/>
      <c r="S2013" s="460"/>
      <c r="T2013" s="460"/>
      <c r="U2013" s="461"/>
      <c r="V2013" s="296"/>
    </row>
    <row r="2014" spans="1:22" s="16" customFormat="1" ht="14.25" customHeight="1" x14ac:dyDescent="0.25">
      <c r="A2014" s="14"/>
      <c r="D2014" s="297"/>
      <c r="E2014" s="294" t="s">
        <v>699</v>
      </c>
      <c r="F2014" s="295"/>
      <c r="G2014" s="295"/>
      <c r="H2014" s="295"/>
      <c r="I2014" s="295"/>
      <c r="J2014" s="295"/>
      <c r="K2014" s="295"/>
      <c r="L2014" s="295"/>
      <c r="M2014" s="295"/>
      <c r="N2014" s="295"/>
      <c r="O2014" s="295"/>
      <c r="P2014" s="459">
        <f>'[1]5.LO'!E169</f>
        <v>0</v>
      </c>
      <c r="Q2014" s="460"/>
      <c r="R2014" s="460"/>
      <c r="S2014" s="460"/>
      <c r="T2014" s="460"/>
      <c r="U2014" s="461"/>
      <c r="V2014" s="296"/>
    </row>
    <row r="2015" spans="1:22" s="16" customFormat="1" ht="14.25" customHeight="1" x14ac:dyDescent="0.25">
      <c r="A2015" s="14"/>
      <c r="D2015" s="297"/>
      <c r="E2015" s="294" t="s">
        <v>700</v>
      </c>
      <c r="F2015" s="295"/>
      <c r="G2015" s="295"/>
      <c r="H2015" s="295"/>
      <c r="I2015" s="295"/>
      <c r="J2015" s="295"/>
      <c r="K2015" s="295"/>
      <c r="L2015" s="295"/>
      <c r="M2015" s="295"/>
      <c r="N2015" s="295"/>
      <c r="O2015" s="295"/>
      <c r="P2015" s="459">
        <f>'[1]5.LO'!E170</f>
        <v>0</v>
      </c>
      <c r="Q2015" s="460"/>
      <c r="R2015" s="460"/>
      <c r="S2015" s="460"/>
      <c r="T2015" s="460"/>
      <c r="U2015" s="461"/>
      <c r="V2015" s="296"/>
    </row>
    <row r="2016" spans="1:22" s="16" customFormat="1" ht="14.25" customHeight="1" x14ac:dyDescent="0.25">
      <c r="A2016" s="14"/>
      <c r="D2016" s="297"/>
      <c r="E2016" s="294" t="s">
        <v>701</v>
      </c>
      <c r="F2016" s="295"/>
      <c r="G2016" s="295"/>
      <c r="H2016" s="295"/>
      <c r="I2016" s="295"/>
      <c r="J2016" s="295"/>
      <c r="K2016" s="295"/>
      <c r="L2016" s="295"/>
      <c r="M2016" s="295"/>
      <c r="N2016" s="295"/>
      <c r="O2016" s="295"/>
      <c r="P2016" s="459">
        <f>'[1]5.LO'!E171</f>
        <v>0</v>
      </c>
      <c r="Q2016" s="460"/>
      <c r="R2016" s="460"/>
      <c r="S2016" s="460"/>
      <c r="T2016" s="460"/>
      <c r="U2016" s="461"/>
      <c r="V2016" s="296"/>
    </row>
    <row r="2017" spans="1:22" s="16" customFormat="1" ht="14.25" customHeight="1" x14ac:dyDescent="0.25">
      <c r="A2017" s="14"/>
      <c r="D2017" s="297"/>
      <c r="E2017" s="294" t="s">
        <v>702</v>
      </c>
      <c r="F2017" s="295"/>
      <c r="G2017" s="295"/>
      <c r="H2017" s="295"/>
      <c r="I2017" s="295"/>
      <c r="J2017" s="295"/>
      <c r="K2017" s="295"/>
      <c r="L2017" s="295"/>
      <c r="M2017" s="295"/>
      <c r="N2017" s="295"/>
      <c r="O2017" s="295"/>
      <c r="P2017" s="459">
        <f>'[1]5.LO'!E172</f>
        <v>0</v>
      </c>
      <c r="Q2017" s="460"/>
      <c r="R2017" s="460"/>
      <c r="S2017" s="460"/>
      <c r="T2017" s="460"/>
      <c r="U2017" s="461"/>
      <c r="V2017" s="296"/>
    </row>
    <row r="2018" spans="1:22" s="16" customFormat="1" ht="14.25" customHeight="1" x14ac:dyDescent="0.25">
      <c r="A2018" s="14"/>
      <c r="D2018" s="293"/>
      <c r="E2018" s="294" t="s">
        <v>703</v>
      </c>
      <c r="F2018" s="295"/>
      <c r="G2018" s="295"/>
      <c r="H2018" s="295"/>
      <c r="I2018" s="295"/>
      <c r="J2018" s="295"/>
      <c r="K2018" s="295"/>
      <c r="L2018" s="295"/>
      <c r="M2018" s="295"/>
      <c r="N2018" s="295"/>
      <c r="O2018" s="295"/>
      <c r="P2018" s="459">
        <f>'[1]5.LO'!E173</f>
        <v>0</v>
      </c>
      <c r="Q2018" s="460"/>
      <c r="R2018" s="460"/>
      <c r="S2018" s="460"/>
      <c r="T2018" s="460"/>
      <c r="U2018" s="461"/>
      <c r="V2018" s="296"/>
    </row>
    <row r="2019" spans="1:22" s="16" customFormat="1" ht="14.25" customHeight="1" x14ac:dyDescent="0.25">
      <c r="A2019" s="14"/>
      <c r="D2019" s="293"/>
      <c r="E2019" s="294" t="s">
        <v>704</v>
      </c>
      <c r="F2019" s="295"/>
      <c r="G2019" s="295"/>
      <c r="H2019" s="295"/>
      <c r="I2019" s="295"/>
      <c r="J2019" s="295"/>
      <c r="K2019" s="295"/>
      <c r="L2019" s="295"/>
      <c r="M2019" s="295"/>
      <c r="N2019" s="295"/>
      <c r="O2019" s="295"/>
      <c r="P2019" s="459">
        <f>'[1]5.LO'!E174</f>
        <v>0</v>
      </c>
      <c r="Q2019" s="460"/>
      <c r="R2019" s="460"/>
      <c r="S2019" s="460"/>
      <c r="T2019" s="460"/>
      <c r="U2019" s="461"/>
      <c r="V2019" s="296"/>
    </row>
    <row r="2020" spans="1:22" s="16" customFormat="1" ht="14.25" customHeight="1" x14ac:dyDescent="0.25">
      <c r="A2020" s="14"/>
      <c r="D2020" s="297"/>
      <c r="E2020" s="294" t="s">
        <v>705</v>
      </c>
      <c r="F2020" s="295"/>
      <c r="G2020" s="295"/>
      <c r="H2020" s="295"/>
      <c r="I2020" s="295"/>
      <c r="J2020" s="295"/>
      <c r="K2020" s="295"/>
      <c r="L2020" s="295"/>
      <c r="M2020" s="295"/>
      <c r="N2020" s="295"/>
      <c r="O2020" s="295"/>
      <c r="P2020" s="459">
        <f>'[1]5.LO'!E175</f>
        <v>0</v>
      </c>
      <c r="Q2020" s="460"/>
      <c r="R2020" s="460"/>
      <c r="S2020" s="460"/>
      <c r="T2020" s="460"/>
      <c r="U2020" s="461"/>
      <c r="V2020" s="296"/>
    </row>
    <row r="2021" spans="1:22" s="16" customFormat="1" ht="14.25" customHeight="1" x14ac:dyDescent="0.25">
      <c r="A2021" s="14"/>
      <c r="D2021" s="293"/>
      <c r="E2021" s="294" t="s">
        <v>706</v>
      </c>
      <c r="F2021" s="295"/>
      <c r="G2021" s="295"/>
      <c r="H2021" s="295"/>
      <c r="I2021" s="295"/>
      <c r="J2021" s="295"/>
      <c r="K2021" s="295"/>
      <c r="L2021" s="295"/>
      <c r="M2021" s="295"/>
      <c r="N2021" s="295"/>
      <c r="O2021" s="295"/>
      <c r="P2021" s="459">
        <f>'[1]5.LO'!E176</f>
        <v>0</v>
      </c>
      <c r="Q2021" s="460"/>
      <c r="R2021" s="460"/>
      <c r="S2021" s="460"/>
      <c r="T2021" s="460"/>
      <c r="U2021" s="461"/>
      <c r="V2021" s="296"/>
    </row>
    <row r="2022" spans="1:22" s="16" customFormat="1" ht="14.25" customHeight="1" x14ac:dyDescent="0.2">
      <c r="A2022" s="14"/>
      <c r="D2022" s="298" t="s">
        <v>707</v>
      </c>
      <c r="E2022" s="299"/>
      <c r="F2022" s="295"/>
      <c r="G2022" s="295"/>
      <c r="H2022" s="295"/>
      <c r="I2022" s="295"/>
      <c r="J2022" s="295"/>
      <c r="K2022" s="295"/>
      <c r="L2022" s="295"/>
      <c r="M2022" s="295"/>
      <c r="N2022" s="295"/>
      <c r="O2022" s="295"/>
      <c r="P2022" s="462">
        <f>P2023</f>
        <v>1406186700</v>
      </c>
      <c r="Q2022" s="463"/>
      <c r="R2022" s="463"/>
      <c r="S2022" s="463"/>
      <c r="T2022" s="463"/>
      <c r="U2022" s="464"/>
      <c r="V2022" s="292"/>
    </row>
    <row r="2023" spans="1:22" s="16" customFormat="1" ht="14.25" customHeight="1" x14ac:dyDescent="0.25">
      <c r="A2023" s="14"/>
      <c r="D2023" s="297"/>
      <c r="E2023" s="294" t="s">
        <v>708</v>
      </c>
      <c r="F2023" s="295"/>
      <c r="G2023" s="295"/>
      <c r="H2023" s="295"/>
      <c r="I2023" s="295"/>
      <c r="J2023" s="295"/>
      <c r="K2023" s="295"/>
      <c r="L2023" s="295"/>
      <c r="M2023" s="295"/>
      <c r="N2023" s="295"/>
      <c r="O2023" s="295"/>
      <c r="P2023" s="459">
        <f>'[1]5.LO'!E178</f>
        <v>1406186700</v>
      </c>
      <c r="Q2023" s="460"/>
      <c r="R2023" s="460"/>
      <c r="S2023" s="460"/>
      <c r="T2023" s="460"/>
      <c r="U2023" s="461"/>
      <c r="V2023" s="296"/>
    </row>
    <row r="2024" spans="1:22" s="16" customFormat="1" ht="25.5" customHeight="1" x14ac:dyDescent="0.2">
      <c r="A2024" s="14"/>
      <c r="D2024" s="466" t="s">
        <v>709</v>
      </c>
      <c r="E2024" s="467"/>
      <c r="F2024" s="467"/>
      <c r="G2024" s="467"/>
      <c r="H2024" s="467"/>
      <c r="I2024" s="467"/>
      <c r="J2024" s="467"/>
      <c r="K2024" s="467"/>
      <c r="L2024" s="467"/>
      <c r="M2024" s="467"/>
      <c r="N2024" s="467"/>
      <c r="O2024" s="468"/>
      <c r="P2024" s="462">
        <f>SUM(P2025:U2026)</f>
        <v>0</v>
      </c>
      <c r="Q2024" s="463"/>
      <c r="R2024" s="463"/>
      <c r="S2024" s="463"/>
      <c r="T2024" s="463"/>
      <c r="U2024" s="464"/>
      <c r="V2024" s="292"/>
    </row>
    <row r="2025" spans="1:22" s="16" customFormat="1" ht="14.25" customHeight="1" x14ac:dyDescent="0.25">
      <c r="A2025" s="14"/>
      <c r="D2025" s="293"/>
      <c r="E2025" s="469" t="s">
        <v>710</v>
      </c>
      <c r="F2025" s="469"/>
      <c r="G2025" s="469"/>
      <c r="H2025" s="469"/>
      <c r="I2025" s="469"/>
      <c r="J2025" s="469"/>
      <c r="K2025" s="469"/>
      <c r="L2025" s="469"/>
      <c r="M2025" s="469"/>
      <c r="N2025" s="469"/>
      <c r="O2025" s="470"/>
      <c r="P2025" s="459">
        <f>'[1]5.LO'!E180</f>
        <v>0</v>
      </c>
      <c r="Q2025" s="460"/>
      <c r="R2025" s="460"/>
      <c r="S2025" s="460"/>
      <c r="T2025" s="460"/>
      <c r="U2025" s="461"/>
      <c r="V2025" s="296"/>
    </row>
    <row r="2026" spans="1:22" s="16" customFormat="1" ht="14.25" customHeight="1" x14ac:dyDescent="0.25">
      <c r="A2026" s="14"/>
      <c r="D2026" s="293"/>
      <c r="E2026" s="294" t="s">
        <v>711</v>
      </c>
      <c r="F2026" s="295"/>
      <c r="G2026" s="295"/>
      <c r="H2026" s="295"/>
      <c r="I2026" s="295"/>
      <c r="J2026" s="295"/>
      <c r="K2026" s="295"/>
      <c r="L2026" s="295"/>
      <c r="M2026" s="295"/>
      <c r="N2026" s="295"/>
      <c r="O2026" s="295"/>
      <c r="P2026" s="459">
        <f>'[1]5.LO'!E181</f>
        <v>0</v>
      </c>
      <c r="Q2026" s="460"/>
      <c r="R2026" s="460"/>
      <c r="S2026" s="460"/>
      <c r="T2026" s="460"/>
      <c r="U2026" s="461"/>
      <c r="V2026" s="296"/>
    </row>
    <row r="2027" spans="1:22" s="16" customFormat="1" ht="14.25" customHeight="1" x14ac:dyDescent="0.2">
      <c r="A2027" s="14"/>
      <c r="D2027" s="298" t="s">
        <v>712</v>
      </c>
      <c r="E2027" s="299"/>
      <c r="F2027" s="295"/>
      <c r="G2027" s="295"/>
      <c r="H2027" s="295"/>
      <c r="I2027" s="295"/>
      <c r="J2027" s="295"/>
      <c r="K2027" s="295"/>
      <c r="L2027" s="295"/>
      <c r="M2027" s="295"/>
      <c r="N2027" s="295"/>
      <c r="O2027" s="295"/>
      <c r="P2027" s="462">
        <f>P2028</f>
        <v>0</v>
      </c>
      <c r="Q2027" s="463"/>
      <c r="R2027" s="463"/>
      <c r="S2027" s="463"/>
      <c r="T2027" s="463"/>
      <c r="U2027" s="464"/>
      <c r="V2027" s="292"/>
    </row>
    <row r="2028" spans="1:22" s="16" customFormat="1" ht="14.25" customHeight="1" x14ac:dyDescent="0.25">
      <c r="A2028" s="14"/>
      <c r="D2028" s="293"/>
      <c r="E2028" s="294" t="s">
        <v>713</v>
      </c>
      <c r="F2028" s="295"/>
      <c r="G2028" s="295"/>
      <c r="H2028" s="295"/>
      <c r="I2028" s="295"/>
      <c r="J2028" s="295"/>
      <c r="K2028" s="295"/>
      <c r="L2028" s="295"/>
      <c r="M2028" s="295"/>
      <c r="N2028" s="295"/>
      <c r="O2028" s="295"/>
      <c r="P2028" s="459">
        <f>'[1]5.LO'!E183</f>
        <v>0</v>
      </c>
      <c r="Q2028" s="460"/>
      <c r="R2028" s="460"/>
      <c r="S2028" s="460"/>
      <c r="T2028" s="460"/>
      <c r="U2028" s="461"/>
      <c r="V2028" s="296"/>
    </row>
    <row r="2029" spans="1:22" s="16" customFormat="1" ht="14.25" customHeight="1" x14ac:dyDescent="0.2">
      <c r="A2029" s="14"/>
      <c r="D2029" s="298" t="s">
        <v>714</v>
      </c>
      <c r="E2029" s="299"/>
      <c r="F2029" s="295"/>
      <c r="G2029" s="295"/>
      <c r="H2029" s="295"/>
      <c r="I2029" s="295"/>
      <c r="J2029" s="295"/>
      <c r="K2029" s="295"/>
      <c r="L2029" s="295"/>
      <c r="M2029" s="295"/>
      <c r="N2029" s="295"/>
      <c r="O2029" s="295"/>
      <c r="P2029" s="462">
        <f>P2030</f>
        <v>147438200</v>
      </c>
      <c r="Q2029" s="463"/>
      <c r="R2029" s="463"/>
      <c r="S2029" s="463"/>
      <c r="T2029" s="463"/>
      <c r="U2029" s="464"/>
      <c r="V2029" s="292"/>
    </row>
    <row r="2030" spans="1:22" s="16" customFormat="1" ht="14.25" customHeight="1" x14ac:dyDescent="0.25">
      <c r="A2030" s="14"/>
      <c r="D2030" s="293"/>
      <c r="E2030" s="294" t="s">
        <v>714</v>
      </c>
      <c r="F2030" s="295"/>
      <c r="G2030" s="295"/>
      <c r="H2030" s="295"/>
      <c r="I2030" s="295"/>
      <c r="J2030" s="295"/>
      <c r="K2030" s="295"/>
      <c r="L2030" s="295"/>
      <c r="M2030" s="295"/>
      <c r="N2030" s="295"/>
      <c r="O2030" s="295"/>
      <c r="P2030" s="459">
        <f>'[1]5.LO'!E185</f>
        <v>147438200</v>
      </c>
      <c r="Q2030" s="460"/>
      <c r="R2030" s="460"/>
      <c r="S2030" s="460"/>
      <c r="T2030" s="460"/>
      <c r="U2030" s="461"/>
      <c r="V2030" s="296"/>
    </row>
    <row r="2031" spans="1:22" s="16" customFormat="1" ht="14.25" customHeight="1" x14ac:dyDescent="0.2">
      <c r="A2031" s="14"/>
      <c r="D2031" s="298" t="s">
        <v>715</v>
      </c>
      <c r="E2031" s="299"/>
      <c r="F2031" s="295"/>
      <c r="G2031" s="295"/>
      <c r="H2031" s="295"/>
      <c r="I2031" s="295"/>
      <c r="J2031" s="295"/>
      <c r="K2031" s="295"/>
      <c r="L2031" s="295"/>
      <c r="M2031" s="295"/>
      <c r="N2031" s="295"/>
      <c r="O2031" s="295"/>
      <c r="P2031" s="462">
        <f>SUM(P2032:U2043)</f>
        <v>202229000</v>
      </c>
      <c r="Q2031" s="463"/>
      <c r="R2031" s="463"/>
      <c r="S2031" s="463"/>
      <c r="T2031" s="463"/>
      <c r="U2031" s="464"/>
      <c r="V2031" s="292"/>
    </row>
    <row r="2032" spans="1:22" s="16" customFormat="1" ht="14.25" customHeight="1" x14ac:dyDescent="0.25">
      <c r="A2032" s="14"/>
      <c r="D2032" s="293"/>
      <c r="E2032" s="294" t="s">
        <v>716</v>
      </c>
      <c r="F2032" s="295"/>
      <c r="G2032" s="295"/>
      <c r="H2032" s="295"/>
      <c r="I2032" s="295"/>
      <c r="J2032" s="295"/>
      <c r="K2032" s="295"/>
      <c r="L2032" s="295"/>
      <c r="M2032" s="295"/>
      <c r="N2032" s="295"/>
      <c r="O2032" s="295"/>
      <c r="P2032" s="459">
        <f>'[1]5.LO'!E187</f>
        <v>21750000</v>
      </c>
      <c r="Q2032" s="460"/>
      <c r="R2032" s="460"/>
      <c r="S2032" s="460"/>
      <c r="T2032" s="460"/>
      <c r="U2032" s="461"/>
      <c r="V2032" s="296"/>
    </row>
    <row r="2033" spans="1:22" s="16" customFormat="1" ht="26.25" customHeight="1" x14ac:dyDescent="0.25">
      <c r="A2033" s="14"/>
      <c r="D2033" s="293"/>
      <c r="E2033" s="469" t="s">
        <v>717</v>
      </c>
      <c r="F2033" s="469"/>
      <c r="G2033" s="469"/>
      <c r="H2033" s="469"/>
      <c r="I2033" s="469"/>
      <c r="J2033" s="469"/>
      <c r="K2033" s="469"/>
      <c r="L2033" s="469"/>
      <c r="M2033" s="469"/>
      <c r="N2033" s="469"/>
      <c r="O2033" s="470"/>
      <c r="P2033" s="459">
        <f>'[1]5.LO'!E188</f>
        <v>6200000</v>
      </c>
      <c r="Q2033" s="460"/>
      <c r="R2033" s="460"/>
      <c r="S2033" s="460"/>
      <c r="T2033" s="460"/>
      <c r="U2033" s="461"/>
      <c r="V2033" s="296"/>
    </row>
    <row r="2034" spans="1:22" s="16" customFormat="1" ht="14.25" customHeight="1" x14ac:dyDescent="0.25">
      <c r="A2034" s="14"/>
      <c r="D2034" s="293"/>
      <c r="E2034" s="469" t="s">
        <v>718</v>
      </c>
      <c r="F2034" s="469"/>
      <c r="G2034" s="469"/>
      <c r="H2034" s="469"/>
      <c r="I2034" s="469"/>
      <c r="J2034" s="469"/>
      <c r="K2034" s="469"/>
      <c r="L2034" s="469"/>
      <c r="M2034" s="469"/>
      <c r="N2034" s="469"/>
      <c r="O2034" s="470"/>
      <c r="P2034" s="459">
        <f>'[1]5.LO'!E189</f>
        <v>90850000</v>
      </c>
      <c r="Q2034" s="460"/>
      <c r="R2034" s="460"/>
      <c r="S2034" s="460"/>
      <c r="T2034" s="460"/>
      <c r="U2034" s="461"/>
      <c r="V2034" s="296"/>
    </row>
    <row r="2035" spans="1:22" s="16" customFormat="1" ht="14.25" customHeight="1" x14ac:dyDescent="0.25">
      <c r="A2035" s="14"/>
      <c r="D2035" s="293"/>
      <c r="E2035" s="294" t="s">
        <v>719</v>
      </c>
      <c r="F2035" s="300"/>
      <c r="G2035" s="300"/>
      <c r="H2035" s="300"/>
      <c r="I2035" s="300"/>
      <c r="J2035" s="300"/>
      <c r="K2035" s="300"/>
      <c r="L2035" s="300"/>
      <c r="M2035" s="300"/>
      <c r="N2035" s="300"/>
      <c r="O2035" s="301">
        <f>'[1]2.ISIAN DATA SKPD'!D405</f>
        <v>0</v>
      </c>
      <c r="P2035" s="459">
        <f>'[1]5.LO'!E190</f>
        <v>0</v>
      </c>
      <c r="Q2035" s="460"/>
      <c r="R2035" s="460"/>
      <c r="S2035" s="460"/>
      <c r="T2035" s="460"/>
      <c r="U2035" s="461"/>
      <c r="V2035" s="296"/>
    </row>
    <row r="2036" spans="1:22" s="16" customFormat="1" ht="14.25" customHeight="1" x14ac:dyDescent="0.25">
      <c r="A2036" s="5"/>
      <c r="D2036" s="293"/>
      <c r="E2036" s="294" t="s">
        <v>720</v>
      </c>
      <c r="F2036" s="300"/>
      <c r="G2036" s="300"/>
      <c r="H2036" s="300"/>
      <c r="I2036" s="300"/>
      <c r="J2036" s="300"/>
      <c r="K2036" s="300"/>
      <c r="L2036" s="300"/>
      <c r="M2036" s="300"/>
      <c r="N2036" s="300"/>
      <c r="O2036" s="301">
        <f>'[1]2.ISIAN DATA SKPD'!D406</f>
        <v>0</v>
      </c>
      <c r="P2036" s="459">
        <f>'[1]5.LO'!E191</f>
        <v>0</v>
      </c>
      <c r="Q2036" s="460"/>
      <c r="R2036" s="460"/>
      <c r="S2036" s="460"/>
      <c r="T2036" s="460"/>
      <c r="U2036" s="461"/>
      <c r="V2036" s="296"/>
    </row>
    <row r="2037" spans="1:22" s="16" customFormat="1" ht="14.25" customHeight="1" x14ac:dyDescent="0.25">
      <c r="A2037" s="5"/>
      <c r="D2037" s="293"/>
      <c r="E2037" s="294" t="s">
        <v>721</v>
      </c>
      <c r="F2037" s="300"/>
      <c r="G2037" s="300"/>
      <c r="H2037" s="300"/>
      <c r="I2037" s="300"/>
      <c r="J2037" s="300"/>
      <c r="K2037" s="300"/>
      <c r="L2037" s="300"/>
      <c r="M2037" s="300"/>
      <c r="N2037" s="300"/>
      <c r="O2037" s="301"/>
      <c r="P2037" s="459">
        <f>'[1]5.LO'!E192</f>
        <v>0</v>
      </c>
      <c r="Q2037" s="460"/>
      <c r="R2037" s="460"/>
      <c r="S2037" s="460"/>
      <c r="T2037" s="460"/>
      <c r="U2037" s="461"/>
      <c r="V2037" s="296"/>
    </row>
    <row r="2038" spans="1:22" s="16" customFormat="1" ht="14.25" customHeight="1" x14ac:dyDescent="0.25">
      <c r="A2038" s="5"/>
      <c r="D2038" s="293"/>
      <c r="E2038" s="294" t="s">
        <v>722</v>
      </c>
      <c r="F2038" s="300"/>
      <c r="G2038" s="300"/>
      <c r="H2038" s="300"/>
      <c r="I2038" s="300"/>
      <c r="J2038" s="300"/>
      <c r="K2038" s="300"/>
      <c r="L2038" s="300"/>
      <c r="M2038" s="300"/>
      <c r="N2038" s="300"/>
      <c r="O2038" s="301"/>
      <c r="P2038" s="459">
        <f>'[1]5.LO'!E193</f>
        <v>0</v>
      </c>
      <c r="Q2038" s="460"/>
      <c r="R2038" s="460"/>
      <c r="S2038" s="460"/>
      <c r="T2038" s="460"/>
      <c r="U2038" s="461"/>
      <c r="V2038" s="296"/>
    </row>
    <row r="2039" spans="1:22" s="16" customFormat="1" ht="14.25" customHeight="1" x14ac:dyDescent="0.25">
      <c r="A2039" s="5"/>
      <c r="D2039" s="293"/>
      <c r="E2039" s="294" t="s">
        <v>723</v>
      </c>
      <c r="F2039" s="300"/>
      <c r="G2039" s="300"/>
      <c r="H2039" s="300"/>
      <c r="I2039" s="300"/>
      <c r="J2039" s="300"/>
      <c r="K2039" s="300"/>
      <c r="L2039" s="300"/>
      <c r="M2039" s="300"/>
      <c r="N2039" s="300"/>
      <c r="O2039" s="301"/>
      <c r="P2039" s="459">
        <f>'[1]5.LO'!E194</f>
        <v>0</v>
      </c>
      <c r="Q2039" s="460"/>
      <c r="R2039" s="460"/>
      <c r="S2039" s="460"/>
      <c r="T2039" s="460"/>
      <c r="U2039" s="461"/>
      <c r="V2039" s="296"/>
    </row>
    <row r="2040" spans="1:22" s="16" customFormat="1" ht="14.25" customHeight="1" x14ac:dyDescent="0.25">
      <c r="A2040" s="5"/>
      <c r="D2040" s="293"/>
      <c r="E2040" s="294" t="s">
        <v>724</v>
      </c>
      <c r="F2040" s="300"/>
      <c r="G2040" s="300"/>
      <c r="H2040" s="300"/>
      <c r="I2040" s="300"/>
      <c r="J2040" s="300"/>
      <c r="K2040" s="300"/>
      <c r="L2040" s="300"/>
      <c r="M2040" s="300"/>
      <c r="N2040" s="300"/>
      <c r="O2040" s="301"/>
      <c r="P2040" s="459">
        <f>'[1]5.LO'!E195</f>
        <v>70799000</v>
      </c>
      <c r="Q2040" s="460"/>
      <c r="R2040" s="460"/>
      <c r="S2040" s="460"/>
      <c r="T2040" s="460"/>
      <c r="U2040" s="461"/>
      <c r="V2040" s="296"/>
    </row>
    <row r="2041" spans="1:22" s="16" customFormat="1" ht="14.25" customHeight="1" x14ac:dyDescent="0.25">
      <c r="A2041" s="5"/>
      <c r="D2041" s="293"/>
      <c r="E2041" s="294" t="s">
        <v>725</v>
      </c>
      <c r="F2041" s="300"/>
      <c r="G2041" s="300"/>
      <c r="H2041" s="300"/>
      <c r="I2041" s="300"/>
      <c r="J2041" s="300"/>
      <c r="K2041" s="300"/>
      <c r="L2041" s="300"/>
      <c r="M2041" s="300"/>
      <c r="N2041" s="300"/>
      <c r="O2041" s="301"/>
      <c r="P2041" s="459">
        <f>'[1]5.LO'!E196</f>
        <v>9480000</v>
      </c>
      <c r="Q2041" s="460"/>
      <c r="R2041" s="460"/>
      <c r="S2041" s="460"/>
      <c r="T2041" s="460"/>
      <c r="U2041" s="461"/>
      <c r="V2041" s="296"/>
    </row>
    <row r="2042" spans="1:22" s="16" customFormat="1" ht="14.25" customHeight="1" x14ac:dyDescent="0.25">
      <c r="A2042" s="5"/>
      <c r="D2042" s="293"/>
      <c r="E2042" s="294" t="s">
        <v>726</v>
      </c>
      <c r="F2042" s="300"/>
      <c r="G2042" s="300"/>
      <c r="H2042" s="300"/>
      <c r="I2042" s="300"/>
      <c r="J2042" s="300"/>
      <c r="K2042" s="300"/>
      <c r="L2042" s="300"/>
      <c r="M2042" s="300"/>
      <c r="N2042" s="300"/>
      <c r="O2042" s="301"/>
      <c r="P2042" s="459">
        <f>'[1]5.LO'!E197</f>
        <v>3150000</v>
      </c>
      <c r="Q2042" s="460"/>
      <c r="R2042" s="460"/>
      <c r="S2042" s="460"/>
      <c r="T2042" s="460"/>
      <c r="U2042" s="461"/>
      <c r="V2042" s="296"/>
    </row>
    <row r="2043" spans="1:22" s="16" customFormat="1" ht="14.25" customHeight="1" x14ac:dyDescent="0.25">
      <c r="A2043" s="5"/>
      <c r="D2043" s="293"/>
      <c r="E2043" s="294" t="s">
        <v>727</v>
      </c>
      <c r="F2043" s="300"/>
      <c r="G2043" s="300"/>
      <c r="H2043" s="300"/>
      <c r="I2043" s="300"/>
      <c r="J2043" s="300"/>
      <c r="K2043" s="300"/>
      <c r="L2043" s="300"/>
      <c r="M2043" s="300"/>
      <c r="N2043" s="300"/>
      <c r="O2043" s="301"/>
      <c r="P2043" s="459">
        <f>'[1]5.LO'!E198</f>
        <v>0</v>
      </c>
      <c r="Q2043" s="460"/>
      <c r="R2043" s="460"/>
      <c r="S2043" s="460"/>
      <c r="T2043" s="460"/>
      <c r="U2043" s="461"/>
      <c r="V2043" s="296"/>
    </row>
    <row r="2044" spans="1:22" s="16" customFormat="1" ht="14.25" customHeight="1" x14ac:dyDescent="0.2">
      <c r="A2044" s="5"/>
      <c r="D2044" s="298" t="s">
        <v>728</v>
      </c>
      <c r="E2044" s="299"/>
      <c r="F2044" s="300"/>
      <c r="G2044" s="300"/>
      <c r="H2044" s="300"/>
      <c r="I2044" s="300"/>
      <c r="J2044" s="300"/>
      <c r="K2044" s="300"/>
      <c r="L2044" s="300"/>
      <c r="M2044" s="300"/>
      <c r="N2044" s="300"/>
      <c r="O2044" s="301"/>
      <c r="P2044" s="462">
        <f>SUM(P2045:U2050)</f>
        <v>0</v>
      </c>
      <c r="Q2044" s="463"/>
      <c r="R2044" s="463"/>
      <c r="S2044" s="463"/>
      <c r="T2044" s="463"/>
      <c r="U2044" s="464"/>
      <c r="V2044" s="292"/>
    </row>
    <row r="2045" spans="1:22" s="16" customFormat="1" ht="14.25" customHeight="1" x14ac:dyDescent="0.25">
      <c r="A2045" s="5"/>
      <c r="D2045" s="293"/>
      <c r="E2045" s="294" t="s">
        <v>727</v>
      </c>
      <c r="F2045" s="300"/>
      <c r="G2045" s="300"/>
      <c r="H2045" s="300"/>
      <c r="I2045" s="300"/>
      <c r="J2045" s="300"/>
      <c r="K2045" s="300"/>
      <c r="L2045" s="300"/>
      <c r="M2045" s="300"/>
      <c r="N2045" s="300"/>
      <c r="O2045" s="301"/>
      <c r="P2045" s="459">
        <f>'[1]5.LO'!E200</f>
        <v>0</v>
      </c>
      <c r="Q2045" s="460"/>
      <c r="R2045" s="460"/>
      <c r="S2045" s="460"/>
      <c r="T2045" s="460"/>
      <c r="U2045" s="461"/>
      <c r="V2045" s="296"/>
    </row>
    <row r="2046" spans="1:22" s="16" customFormat="1" ht="14.25" customHeight="1" x14ac:dyDescent="0.25">
      <c r="A2046" s="5"/>
      <c r="D2046" s="293"/>
      <c r="E2046" s="294" t="s">
        <v>729</v>
      </c>
      <c r="F2046" s="300"/>
      <c r="G2046" s="300"/>
      <c r="H2046" s="300"/>
      <c r="I2046" s="300"/>
      <c r="J2046" s="300"/>
      <c r="K2046" s="300"/>
      <c r="L2046" s="300"/>
      <c r="M2046" s="300"/>
      <c r="N2046" s="300"/>
      <c r="O2046" s="301"/>
      <c r="P2046" s="459">
        <f>'[1]5.LO'!E201</f>
        <v>0</v>
      </c>
      <c r="Q2046" s="460"/>
      <c r="R2046" s="460"/>
      <c r="S2046" s="460"/>
      <c r="T2046" s="460"/>
      <c r="U2046" s="461"/>
      <c r="V2046" s="296"/>
    </row>
    <row r="2047" spans="1:22" s="16" customFormat="1" ht="14.25" customHeight="1" x14ac:dyDescent="0.25">
      <c r="A2047" s="5"/>
      <c r="D2047" s="293"/>
      <c r="E2047" s="294" t="s">
        <v>730</v>
      </c>
      <c r="F2047" s="300"/>
      <c r="G2047" s="300"/>
      <c r="H2047" s="300"/>
      <c r="I2047" s="300"/>
      <c r="J2047" s="300"/>
      <c r="K2047" s="300"/>
      <c r="L2047" s="300"/>
      <c r="M2047" s="300"/>
      <c r="N2047" s="300"/>
      <c r="O2047" s="301"/>
      <c r="P2047" s="459">
        <f>'[1]5.LO'!E202</f>
        <v>0</v>
      </c>
      <c r="Q2047" s="460"/>
      <c r="R2047" s="460"/>
      <c r="S2047" s="460"/>
      <c r="T2047" s="460"/>
      <c r="U2047" s="461"/>
      <c r="V2047" s="296"/>
    </row>
    <row r="2048" spans="1:22" s="16" customFormat="1" ht="14.25" customHeight="1" x14ac:dyDescent="0.25">
      <c r="A2048" s="5"/>
      <c r="D2048" s="293"/>
      <c r="E2048" s="294" t="s">
        <v>731</v>
      </c>
      <c r="F2048" s="300"/>
      <c r="G2048" s="300"/>
      <c r="H2048" s="300"/>
      <c r="I2048" s="300"/>
      <c r="J2048" s="300"/>
      <c r="K2048" s="300"/>
      <c r="L2048" s="300"/>
      <c r="M2048" s="300"/>
      <c r="N2048" s="300"/>
      <c r="O2048" s="301"/>
      <c r="P2048" s="459">
        <f>'[1]5.LO'!E203</f>
        <v>0</v>
      </c>
      <c r="Q2048" s="460"/>
      <c r="R2048" s="460"/>
      <c r="S2048" s="460"/>
      <c r="T2048" s="460"/>
      <c r="U2048" s="461"/>
      <c r="V2048" s="296"/>
    </row>
    <row r="2049" spans="1:22" s="16" customFormat="1" ht="27.75" customHeight="1" x14ac:dyDescent="0.25">
      <c r="A2049" s="5"/>
      <c r="D2049" s="293"/>
      <c r="E2049" s="469" t="s">
        <v>732</v>
      </c>
      <c r="F2049" s="469"/>
      <c r="G2049" s="469"/>
      <c r="H2049" s="469"/>
      <c r="I2049" s="469"/>
      <c r="J2049" s="469"/>
      <c r="K2049" s="469"/>
      <c r="L2049" s="469"/>
      <c r="M2049" s="469"/>
      <c r="N2049" s="469"/>
      <c r="O2049" s="470"/>
      <c r="P2049" s="459">
        <f>'[1]5.LO'!E204</f>
        <v>0</v>
      </c>
      <c r="Q2049" s="460"/>
      <c r="R2049" s="460"/>
      <c r="S2049" s="460"/>
      <c r="T2049" s="460"/>
      <c r="U2049" s="461"/>
      <c r="V2049" s="296"/>
    </row>
    <row r="2050" spans="1:22" s="16" customFormat="1" ht="14.25" customHeight="1" x14ac:dyDescent="0.25">
      <c r="A2050" s="5"/>
      <c r="D2050" s="293"/>
      <c r="E2050" s="294" t="s">
        <v>733</v>
      </c>
      <c r="F2050" s="300"/>
      <c r="G2050" s="300"/>
      <c r="H2050" s="300"/>
      <c r="I2050" s="300"/>
      <c r="J2050" s="300"/>
      <c r="K2050" s="300"/>
      <c r="L2050" s="300"/>
      <c r="M2050" s="300"/>
      <c r="N2050" s="300"/>
      <c r="O2050" s="301"/>
      <c r="P2050" s="459">
        <f>'[1]5.LO'!E205</f>
        <v>0</v>
      </c>
      <c r="Q2050" s="460"/>
      <c r="R2050" s="460"/>
      <c r="S2050" s="460"/>
      <c r="T2050" s="460"/>
      <c r="U2050" s="461"/>
      <c r="V2050" s="296"/>
    </row>
    <row r="2051" spans="1:22" s="16" customFormat="1" ht="14.25" customHeight="1" x14ac:dyDescent="0.2">
      <c r="A2051" s="5"/>
      <c r="D2051" s="298" t="s">
        <v>734</v>
      </c>
      <c r="E2051" s="299"/>
      <c r="F2051" s="300"/>
      <c r="G2051" s="300"/>
      <c r="H2051" s="300"/>
      <c r="I2051" s="300"/>
      <c r="J2051" s="300"/>
      <c r="K2051" s="300"/>
      <c r="L2051" s="300"/>
      <c r="M2051" s="300"/>
      <c r="N2051" s="300"/>
      <c r="O2051" s="301"/>
      <c r="P2051" s="462">
        <f>SUM(P2052:U2053)</f>
        <v>4746000</v>
      </c>
      <c r="Q2051" s="463"/>
      <c r="R2051" s="463"/>
      <c r="S2051" s="463"/>
      <c r="T2051" s="463"/>
      <c r="U2051" s="464"/>
      <c r="V2051" s="292"/>
    </row>
    <row r="2052" spans="1:22" s="16" customFormat="1" ht="14.25" customHeight="1" x14ac:dyDescent="0.25">
      <c r="A2052" s="5"/>
      <c r="D2052" s="293"/>
      <c r="E2052" s="294" t="s">
        <v>735</v>
      </c>
      <c r="F2052" s="300"/>
      <c r="G2052" s="300"/>
      <c r="H2052" s="300"/>
      <c r="I2052" s="300"/>
      <c r="J2052" s="300"/>
      <c r="K2052" s="300"/>
      <c r="L2052" s="300"/>
      <c r="M2052" s="300"/>
      <c r="N2052" s="300"/>
      <c r="O2052" s="301"/>
      <c r="P2052" s="459">
        <f>'[1]5.LO'!E207</f>
        <v>4746000</v>
      </c>
      <c r="Q2052" s="460"/>
      <c r="R2052" s="460"/>
      <c r="S2052" s="460"/>
      <c r="T2052" s="460"/>
      <c r="U2052" s="461"/>
      <c r="V2052" s="296"/>
    </row>
    <row r="2053" spans="1:22" s="16" customFormat="1" ht="14.25" customHeight="1" x14ac:dyDescent="0.25">
      <c r="A2053" s="5"/>
      <c r="D2053" s="293"/>
      <c r="E2053" s="294" t="s">
        <v>736</v>
      </c>
      <c r="F2053" s="300"/>
      <c r="G2053" s="300"/>
      <c r="H2053" s="300"/>
      <c r="I2053" s="300"/>
      <c r="J2053" s="300"/>
      <c r="K2053" s="300"/>
      <c r="L2053" s="300"/>
      <c r="M2053" s="300"/>
      <c r="N2053" s="300"/>
      <c r="O2053" s="301"/>
      <c r="P2053" s="459">
        <f>'[1]5.LO'!E208</f>
        <v>0</v>
      </c>
      <c r="Q2053" s="460"/>
      <c r="R2053" s="460"/>
      <c r="S2053" s="460"/>
      <c r="T2053" s="460"/>
      <c r="U2053" s="461"/>
      <c r="V2053" s="296"/>
    </row>
    <row r="2054" spans="1:22" s="16" customFormat="1" ht="27" customHeight="1" x14ac:dyDescent="0.2">
      <c r="A2054" s="5"/>
      <c r="D2054" s="466" t="s">
        <v>737</v>
      </c>
      <c r="E2054" s="467"/>
      <c r="F2054" s="467"/>
      <c r="G2054" s="467"/>
      <c r="H2054" s="467"/>
      <c r="I2054" s="467"/>
      <c r="J2054" s="467"/>
      <c r="K2054" s="467"/>
      <c r="L2054" s="467"/>
      <c r="M2054" s="467"/>
      <c r="N2054" s="467"/>
      <c r="O2054" s="468"/>
      <c r="P2054" s="462">
        <f>SUM(P2055:U2056)</f>
        <v>109000000</v>
      </c>
      <c r="Q2054" s="463"/>
      <c r="R2054" s="463"/>
      <c r="S2054" s="463"/>
      <c r="T2054" s="463"/>
      <c r="U2054" s="464"/>
      <c r="V2054" s="292"/>
    </row>
    <row r="2055" spans="1:22" s="16" customFormat="1" ht="12.75" customHeight="1" x14ac:dyDescent="0.25">
      <c r="A2055" s="5"/>
      <c r="D2055" s="293"/>
      <c r="E2055" s="294" t="s">
        <v>738</v>
      </c>
      <c r="F2055" s="300"/>
      <c r="G2055" s="300"/>
      <c r="H2055" s="300"/>
      <c r="I2055" s="300"/>
      <c r="J2055" s="300"/>
      <c r="K2055" s="300"/>
      <c r="L2055" s="300"/>
      <c r="M2055" s="300"/>
      <c r="N2055" s="300"/>
      <c r="O2055" s="301"/>
      <c r="P2055" s="459">
        <f>'[1]5.LO'!E210</f>
        <v>0</v>
      </c>
      <c r="Q2055" s="460"/>
      <c r="R2055" s="460"/>
      <c r="S2055" s="460"/>
      <c r="T2055" s="460"/>
      <c r="U2055" s="461"/>
      <c r="V2055" s="296"/>
    </row>
    <row r="2056" spans="1:22" s="16" customFormat="1" ht="12.75" customHeight="1" x14ac:dyDescent="0.25">
      <c r="A2056" s="5"/>
      <c r="D2056" s="293"/>
      <c r="E2056" s="294" t="s">
        <v>739</v>
      </c>
      <c r="F2056" s="300"/>
      <c r="G2056" s="300"/>
      <c r="H2056" s="300"/>
      <c r="I2056" s="300"/>
      <c r="J2056" s="300"/>
      <c r="K2056" s="300"/>
      <c r="L2056" s="300"/>
      <c r="M2056" s="300"/>
      <c r="N2056" s="300"/>
      <c r="O2056" s="301"/>
      <c r="P2056" s="459">
        <f>'[1]5.LO'!E211</f>
        <v>109000000</v>
      </c>
      <c r="Q2056" s="460"/>
      <c r="R2056" s="460"/>
      <c r="S2056" s="460"/>
      <c r="T2056" s="460"/>
      <c r="U2056" s="461"/>
      <c r="V2056" s="296"/>
    </row>
    <row r="2057" spans="1:22" s="16" customFormat="1" ht="12.75" customHeight="1" x14ac:dyDescent="0.2">
      <c r="A2057" s="5"/>
      <c r="D2057" s="298" t="s">
        <v>740</v>
      </c>
      <c r="E2057" s="299"/>
      <c r="F2057" s="300"/>
      <c r="G2057" s="300"/>
      <c r="H2057" s="300"/>
      <c r="I2057" s="300"/>
      <c r="J2057" s="300"/>
      <c r="K2057" s="300"/>
      <c r="L2057" s="300"/>
      <c r="M2057" s="300"/>
      <c r="N2057" s="300"/>
      <c r="O2057" s="301"/>
      <c r="P2057" s="462">
        <f>SUM(P2058:U2059)</f>
        <v>0</v>
      </c>
      <c r="Q2057" s="463"/>
      <c r="R2057" s="463"/>
      <c r="S2057" s="463"/>
      <c r="T2057" s="463"/>
      <c r="U2057" s="464"/>
      <c r="V2057" s="292"/>
    </row>
    <row r="2058" spans="1:22" s="16" customFormat="1" ht="12.75" customHeight="1" x14ac:dyDescent="0.25">
      <c r="A2058" s="5"/>
      <c r="D2058" s="293"/>
      <c r="E2058" s="294" t="s">
        <v>741</v>
      </c>
      <c r="F2058" s="300"/>
      <c r="G2058" s="300"/>
      <c r="H2058" s="300"/>
      <c r="I2058" s="300"/>
      <c r="J2058" s="300"/>
      <c r="K2058" s="300"/>
      <c r="L2058" s="300"/>
      <c r="M2058" s="300"/>
      <c r="N2058" s="300"/>
      <c r="O2058" s="301"/>
      <c r="P2058" s="459">
        <f>'[1]5.LO'!E213</f>
        <v>0</v>
      </c>
      <c r="Q2058" s="460"/>
      <c r="R2058" s="460"/>
      <c r="S2058" s="460"/>
      <c r="T2058" s="460"/>
      <c r="U2058" s="461"/>
      <c r="V2058" s="296"/>
    </row>
    <row r="2059" spans="1:22" s="16" customFormat="1" ht="12.75" customHeight="1" x14ac:dyDescent="0.25">
      <c r="A2059" s="5"/>
      <c r="D2059" s="293"/>
      <c r="E2059" s="294" t="s">
        <v>742</v>
      </c>
      <c r="F2059" s="300"/>
      <c r="G2059" s="300"/>
      <c r="H2059" s="300"/>
      <c r="I2059" s="300"/>
      <c r="J2059" s="300"/>
      <c r="K2059" s="300"/>
      <c r="L2059" s="300"/>
      <c r="M2059" s="300"/>
      <c r="N2059" s="300"/>
      <c r="O2059" s="301"/>
      <c r="P2059" s="459">
        <f>'[1]5.LO'!E214</f>
        <v>0</v>
      </c>
      <c r="Q2059" s="460"/>
      <c r="R2059" s="460"/>
      <c r="S2059" s="460"/>
      <c r="T2059" s="460"/>
      <c r="U2059" s="461"/>
      <c r="V2059" s="296"/>
    </row>
    <row r="2060" spans="1:22" s="16" customFormat="1" ht="12.75" customHeight="1" x14ac:dyDescent="0.2">
      <c r="A2060" s="5"/>
      <c r="D2060" s="298" t="s">
        <v>743</v>
      </c>
      <c r="E2060" s="299"/>
      <c r="F2060" s="300"/>
      <c r="G2060" s="300"/>
      <c r="H2060" s="300"/>
      <c r="I2060" s="300"/>
      <c r="J2060" s="300"/>
      <c r="K2060" s="300"/>
      <c r="L2060" s="300"/>
      <c r="M2060" s="300"/>
      <c r="N2060" s="300"/>
      <c r="O2060" s="301"/>
      <c r="P2060" s="462">
        <f>SUM(P2061:U2064)</f>
        <v>0</v>
      </c>
      <c r="Q2060" s="463"/>
      <c r="R2060" s="463"/>
      <c r="S2060" s="463"/>
      <c r="T2060" s="463"/>
      <c r="U2060" s="464"/>
      <c r="V2060" s="292"/>
    </row>
    <row r="2061" spans="1:22" s="16" customFormat="1" ht="12.75" customHeight="1" x14ac:dyDescent="0.25">
      <c r="A2061" s="5"/>
      <c r="D2061" s="293"/>
      <c r="E2061" s="294" t="s">
        <v>744</v>
      </c>
      <c r="F2061" s="300"/>
      <c r="G2061" s="300"/>
      <c r="H2061" s="300"/>
      <c r="I2061" s="300"/>
      <c r="J2061" s="300"/>
      <c r="K2061" s="300"/>
      <c r="L2061" s="300"/>
      <c r="M2061" s="300"/>
      <c r="N2061" s="300"/>
      <c r="O2061" s="301"/>
      <c r="P2061" s="459">
        <f>'[1]5.LO'!E216</f>
        <v>0</v>
      </c>
      <c r="Q2061" s="460"/>
      <c r="R2061" s="460"/>
      <c r="S2061" s="460"/>
      <c r="T2061" s="460"/>
      <c r="U2061" s="461"/>
      <c r="V2061" s="296"/>
    </row>
    <row r="2062" spans="1:22" s="16" customFormat="1" ht="12.75" customHeight="1" x14ac:dyDescent="0.25">
      <c r="A2062" s="5"/>
      <c r="D2062" s="293"/>
      <c r="E2062" s="294" t="s">
        <v>745</v>
      </c>
      <c r="F2062" s="300"/>
      <c r="G2062" s="300"/>
      <c r="H2062" s="300"/>
      <c r="I2062" s="300"/>
      <c r="J2062" s="300"/>
      <c r="K2062" s="300"/>
      <c r="L2062" s="300"/>
      <c r="M2062" s="300"/>
      <c r="N2062" s="300"/>
      <c r="O2062" s="301"/>
      <c r="P2062" s="459">
        <f>'[1]5.LO'!E217</f>
        <v>0</v>
      </c>
      <c r="Q2062" s="460"/>
      <c r="R2062" s="460"/>
      <c r="S2062" s="460"/>
      <c r="T2062" s="460"/>
      <c r="U2062" s="461"/>
      <c r="V2062" s="296"/>
    </row>
    <row r="2063" spans="1:22" s="16" customFormat="1" ht="12.75" customHeight="1" x14ac:dyDescent="0.25">
      <c r="A2063" s="5"/>
      <c r="D2063" s="293"/>
      <c r="E2063" s="294" t="s">
        <v>746</v>
      </c>
      <c r="F2063" s="300"/>
      <c r="G2063" s="300"/>
      <c r="H2063" s="300"/>
      <c r="I2063" s="300"/>
      <c r="J2063" s="300"/>
      <c r="K2063" s="300"/>
      <c r="L2063" s="300"/>
      <c r="M2063" s="300"/>
      <c r="N2063" s="300"/>
      <c r="O2063" s="301"/>
      <c r="P2063" s="459">
        <f>'[1]5.LO'!E218</f>
        <v>0</v>
      </c>
      <c r="Q2063" s="460"/>
      <c r="R2063" s="460"/>
      <c r="S2063" s="460"/>
      <c r="T2063" s="460"/>
      <c r="U2063" s="461"/>
      <c r="V2063" s="296"/>
    </row>
    <row r="2064" spans="1:22" s="16" customFormat="1" ht="12.75" customHeight="1" x14ac:dyDescent="0.25">
      <c r="A2064" s="5"/>
      <c r="D2064" s="293"/>
      <c r="E2064" s="294" t="s">
        <v>747</v>
      </c>
      <c r="F2064" s="300"/>
      <c r="G2064" s="300"/>
      <c r="H2064" s="300"/>
      <c r="I2064" s="300"/>
      <c r="J2064" s="300"/>
      <c r="K2064" s="300"/>
      <c r="L2064" s="300"/>
      <c r="M2064" s="300"/>
      <c r="N2064" s="300"/>
      <c r="O2064" s="301"/>
      <c r="P2064" s="459">
        <f>'[1]5.LO'!E219</f>
        <v>0</v>
      </c>
      <c r="Q2064" s="460"/>
      <c r="R2064" s="460"/>
      <c r="S2064" s="460"/>
      <c r="T2064" s="460"/>
      <c r="U2064" s="461"/>
      <c r="V2064" s="296"/>
    </row>
    <row r="2065" spans="1:22" s="16" customFormat="1" ht="20.25" customHeight="1" x14ac:dyDescent="0.25">
      <c r="A2065" s="11"/>
      <c r="D2065" s="453" t="s">
        <v>748</v>
      </c>
      <c r="E2065" s="454"/>
      <c r="F2065" s="454"/>
      <c r="G2065" s="454"/>
      <c r="H2065" s="454"/>
      <c r="I2065" s="454"/>
      <c r="J2065" s="454"/>
      <c r="K2065" s="454"/>
      <c r="L2065" s="454"/>
      <c r="M2065" s="454"/>
      <c r="N2065" s="454"/>
      <c r="O2065" s="455"/>
      <c r="P2065" s="456">
        <f>P2060+P2057+P2054+P2051+P2044+P2031+P2029+P2027+P2024+P2022+P2000</f>
        <v>4173787469</v>
      </c>
      <c r="Q2065" s="457"/>
      <c r="R2065" s="457"/>
      <c r="S2065" s="457"/>
      <c r="T2065" s="457"/>
      <c r="U2065" s="458"/>
      <c r="V2065" s="296"/>
    </row>
    <row r="2066" spans="1:22" s="16" customFormat="1" ht="20.25" customHeight="1" x14ac:dyDescent="0.25">
      <c r="A2066" s="11"/>
      <c r="D2066" s="79"/>
      <c r="E2066" s="79"/>
      <c r="F2066" s="79"/>
      <c r="G2066" s="79"/>
      <c r="H2066" s="79"/>
      <c r="I2066" s="79"/>
      <c r="J2066" s="79"/>
      <c r="K2066" s="79"/>
      <c r="L2066" s="79"/>
      <c r="M2066" s="79"/>
      <c r="N2066" s="79"/>
      <c r="O2066" s="79"/>
      <c r="P2066" s="302"/>
      <c r="Q2066" s="79"/>
      <c r="R2066" s="79"/>
      <c r="S2066" s="79"/>
      <c r="T2066" s="79"/>
      <c r="U2066" s="79"/>
      <c r="V2066" s="296"/>
    </row>
    <row r="2067" spans="1:22" s="16" customFormat="1" ht="20.25" customHeight="1" x14ac:dyDescent="0.25">
      <c r="A2067" s="11"/>
      <c r="C2067" s="303" t="s">
        <v>49</v>
      </c>
      <c r="D2067" s="409" t="s">
        <v>23</v>
      </c>
      <c r="E2067" s="409"/>
      <c r="F2067" s="409"/>
      <c r="G2067" s="409"/>
      <c r="H2067" s="409"/>
      <c r="I2067" s="409"/>
      <c r="J2067" s="409"/>
      <c r="K2067" s="409"/>
      <c r="L2067" s="409"/>
      <c r="M2067" s="409"/>
      <c r="N2067" s="409"/>
      <c r="O2067" s="409"/>
      <c r="P2067" s="409"/>
      <c r="Q2067" s="409"/>
      <c r="R2067" s="409"/>
      <c r="S2067" s="409"/>
      <c r="T2067" s="409"/>
      <c r="U2067" s="409"/>
      <c r="V2067" s="296"/>
    </row>
    <row r="2068" spans="1:22" s="16" customFormat="1" ht="61.5" customHeight="1" x14ac:dyDescent="0.25">
      <c r="A2068" s="11"/>
      <c r="D2068" s="465" t="str">
        <f>"Jumlah Beban Persediaan Tahun Anggaran "&amp;'[1]2.ISIAN DATA SKPD'!D11&amp;" dan tahun "&amp;'[1]2.ISIAN DATA SKPD'!D12&amp;" adalah masing-masing sebesar Rp. "&amp;FIXED(J1982)&amp;",- dan  Rp. "&amp;FIXED(P1982)&amp;". Naik sebesar Rp. "&amp;FIXED(AC1982)&amp;" atau "&amp;FIXED(Y1982)&amp;"% dari tahun "&amp;"."</f>
        <v>Jumlah Beban Persediaan Tahun Anggaran 2018 dan tahun 2017 adalah masing-masing sebesar Rp. 608.396.450,00,- dan  Rp. 818.335.250,00. Naik sebesar Rp. -209.938.800,00 atau -25,65% dari tahun .</v>
      </c>
      <c r="E2068" s="465"/>
      <c r="F2068" s="465"/>
      <c r="G2068" s="465"/>
      <c r="H2068" s="465"/>
      <c r="I2068" s="465"/>
      <c r="J2068" s="465"/>
      <c r="K2068" s="465"/>
      <c r="L2068" s="465"/>
      <c r="M2068" s="465"/>
      <c r="N2068" s="465"/>
      <c r="O2068" s="465"/>
      <c r="P2068" s="465"/>
      <c r="Q2068" s="465"/>
      <c r="R2068" s="465"/>
      <c r="S2068" s="465"/>
      <c r="T2068" s="465"/>
      <c r="U2068" s="465"/>
      <c r="V2068" s="296"/>
    </row>
    <row r="2069" spans="1:22" s="16" customFormat="1" ht="75.75" customHeight="1" x14ac:dyDescent="0.25">
      <c r="A2069" s="11"/>
      <c r="D2069" s="407" t="str">
        <f>"Beban Persediaan merupakan beban untuk mencatat konsumsi atas barang-barang  yang habis pakai, termasuk barang-barang hasil produksi baik yang dipasarkan maupun tidak dipasarkan atau diserahkan kepada masyarakat. Rincian Beban Persediaan untuk Tahun "&amp;'[1]2.ISIAN DATA SKPD'!D11&amp;" adalah sebagai berikut: "</f>
        <v xml:space="preserve">Beban Persediaan merupakan beban untuk mencatat konsumsi atas barang-barang  yang habis pakai, termasuk barang-barang hasil produksi baik yang dipasarkan maupun tidak dipasarkan atau diserahkan kepada masyarakat. Rincian Beban Persediaan untuk Tahun 2018 adalah sebagai berikut: </v>
      </c>
      <c r="E2069" s="407"/>
      <c r="F2069" s="407"/>
      <c r="G2069" s="407"/>
      <c r="H2069" s="407"/>
      <c r="I2069" s="407"/>
      <c r="J2069" s="407"/>
      <c r="K2069" s="407"/>
      <c r="L2069" s="407"/>
      <c r="M2069" s="407"/>
      <c r="N2069" s="407"/>
      <c r="O2069" s="407"/>
      <c r="P2069" s="407"/>
      <c r="Q2069" s="407"/>
      <c r="R2069" s="407"/>
      <c r="S2069" s="407"/>
      <c r="T2069" s="407"/>
      <c r="U2069" s="407"/>
      <c r="V2069" s="296"/>
    </row>
    <row r="2070" spans="1:22" s="16" customFormat="1" ht="20.25" customHeight="1" x14ac:dyDescent="0.25">
      <c r="A2070" s="11"/>
      <c r="D2070" s="77"/>
      <c r="E2070" s="77"/>
      <c r="F2070" s="77"/>
      <c r="G2070" s="77"/>
      <c r="H2070" s="77"/>
      <c r="I2070" s="77"/>
      <c r="J2070" s="77"/>
      <c r="K2070" s="77"/>
      <c r="L2070" s="77"/>
      <c r="M2070" s="77"/>
      <c r="N2070" s="77"/>
      <c r="O2070" s="77"/>
      <c r="P2070" s="77"/>
      <c r="Q2070" s="77"/>
      <c r="R2070" s="77"/>
      <c r="S2070" s="77"/>
      <c r="T2070" s="77"/>
      <c r="U2070" s="77"/>
      <c r="V2070" s="296"/>
    </row>
    <row r="2071" spans="1:22" s="16" customFormat="1" ht="20.25" customHeight="1" x14ac:dyDescent="0.25">
      <c r="A2071" s="14"/>
      <c r="C2071" s="290"/>
      <c r="D2071" s="424" t="str">
        <f>"Rincian Beban Persediaan Tahun "&amp;'[1]2.ISIAN DATA SKPD'!D11&amp;""</f>
        <v>Rincian Beban Persediaan Tahun 2018</v>
      </c>
      <c r="E2071" s="424"/>
      <c r="F2071" s="424"/>
      <c r="G2071" s="424"/>
      <c r="H2071" s="424"/>
      <c r="I2071" s="424"/>
      <c r="J2071" s="424"/>
      <c r="K2071" s="424"/>
      <c r="L2071" s="424"/>
      <c r="M2071" s="424"/>
      <c r="N2071" s="424"/>
      <c r="O2071" s="424"/>
      <c r="P2071" s="424"/>
      <c r="Q2071" s="424"/>
      <c r="R2071" s="424"/>
      <c r="S2071" s="424"/>
      <c r="T2071" s="424"/>
      <c r="U2071" s="424"/>
      <c r="V2071" s="296"/>
    </row>
    <row r="2072" spans="1:22" s="16" customFormat="1" ht="22.5" customHeight="1" x14ac:dyDescent="0.25">
      <c r="A2072" s="14"/>
      <c r="B2072" s="304"/>
      <c r="C2072" s="304"/>
      <c r="D2072" s="425" t="s">
        <v>749</v>
      </c>
      <c r="E2072" s="426"/>
      <c r="F2072" s="426"/>
      <c r="G2072" s="426"/>
      <c r="H2072" s="426"/>
      <c r="I2072" s="426"/>
      <c r="J2072" s="426"/>
      <c r="K2072" s="426"/>
      <c r="L2072" s="426"/>
      <c r="M2072" s="426"/>
      <c r="N2072" s="426"/>
      <c r="O2072" s="427"/>
      <c r="P2072" s="428" t="s">
        <v>205</v>
      </c>
      <c r="Q2072" s="428"/>
      <c r="R2072" s="428"/>
      <c r="S2072" s="428"/>
      <c r="T2072" s="428"/>
      <c r="U2072" s="428"/>
      <c r="V2072" s="296"/>
    </row>
    <row r="2073" spans="1:22" s="16" customFormat="1" ht="14.25" customHeight="1" x14ac:dyDescent="0.25">
      <c r="A2073" s="14"/>
      <c r="B2073" s="29"/>
      <c r="C2073" s="29"/>
      <c r="D2073" s="305" t="s">
        <v>750</v>
      </c>
      <c r="E2073" s="277"/>
      <c r="F2073" s="250"/>
      <c r="G2073" s="250"/>
      <c r="H2073" s="250"/>
      <c r="I2073" s="250"/>
      <c r="J2073" s="250"/>
      <c r="K2073" s="250"/>
      <c r="L2073" s="250"/>
      <c r="M2073" s="250"/>
      <c r="N2073" s="250"/>
      <c r="O2073" s="306"/>
      <c r="P2073" s="462">
        <f>SUM(P2074:U2083)</f>
        <v>178589100</v>
      </c>
      <c r="Q2073" s="463"/>
      <c r="R2073" s="463"/>
      <c r="S2073" s="463"/>
      <c r="T2073" s="463"/>
      <c r="U2073" s="464"/>
      <c r="V2073" s="296"/>
    </row>
    <row r="2074" spans="1:22" s="16" customFormat="1" ht="14.25" customHeight="1" x14ac:dyDescent="0.25">
      <c r="A2074" s="14"/>
      <c r="B2074" s="29"/>
      <c r="C2074" s="29"/>
      <c r="D2074" s="307"/>
      <c r="E2074" s="279" t="s">
        <v>751</v>
      </c>
      <c r="F2074" s="250"/>
      <c r="G2074" s="250"/>
      <c r="H2074" s="250"/>
      <c r="I2074" s="250"/>
      <c r="J2074" s="250"/>
      <c r="K2074" s="250"/>
      <c r="L2074" s="250"/>
      <c r="M2074" s="250"/>
      <c r="N2074" s="250"/>
      <c r="O2074" s="306"/>
      <c r="P2074" s="459">
        <f>'[1]5.LO'!E222</f>
        <v>40136300</v>
      </c>
      <c r="Q2074" s="460"/>
      <c r="R2074" s="460"/>
      <c r="S2074" s="460"/>
      <c r="T2074" s="460"/>
      <c r="U2074" s="461"/>
      <c r="V2074" s="296"/>
    </row>
    <row r="2075" spans="1:22" s="16" customFormat="1" ht="14.25" customHeight="1" x14ac:dyDescent="0.25">
      <c r="A2075" s="14"/>
      <c r="B2075" s="29"/>
      <c r="C2075" s="29"/>
      <c r="D2075" s="307"/>
      <c r="E2075" s="279" t="s">
        <v>752</v>
      </c>
      <c r="F2075" s="250"/>
      <c r="G2075" s="250"/>
      <c r="H2075" s="250"/>
      <c r="I2075" s="250"/>
      <c r="J2075" s="250"/>
      <c r="K2075" s="250"/>
      <c r="L2075" s="250"/>
      <c r="M2075" s="250"/>
      <c r="N2075" s="250"/>
      <c r="O2075" s="306"/>
      <c r="P2075" s="459">
        <f>'[1]5.LO'!E223</f>
        <v>3817300</v>
      </c>
      <c r="Q2075" s="460"/>
      <c r="R2075" s="460"/>
      <c r="S2075" s="460"/>
      <c r="T2075" s="460"/>
      <c r="U2075" s="461"/>
      <c r="V2075" s="296"/>
    </row>
    <row r="2076" spans="1:22" s="16" customFormat="1" ht="14.25" customHeight="1" x14ac:dyDescent="0.25">
      <c r="A2076" s="14"/>
      <c r="B2076" s="29"/>
      <c r="C2076" s="29"/>
      <c r="D2076" s="307"/>
      <c r="E2076" s="279" t="s">
        <v>753</v>
      </c>
      <c r="F2076" s="250"/>
      <c r="G2076" s="250"/>
      <c r="H2076" s="250"/>
      <c r="I2076" s="250"/>
      <c r="J2076" s="250"/>
      <c r="K2076" s="250"/>
      <c r="L2076" s="250"/>
      <c r="M2076" s="250"/>
      <c r="N2076" s="250"/>
      <c r="O2076" s="306"/>
      <c r="P2076" s="459">
        <f>'[1]5.LO'!E224</f>
        <v>2115000</v>
      </c>
      <c r="Q2076" s="460"/>
      <c r="R2076" s="460"/>
      <c r="S2076" s="460"/>
      <c r="T2076" s="460"/>
      <c r="U2076" s="461"/>
      <c r="V2076" s="296"/>
    </row>
    <row r="2077" spans="1:22" s="16" customFormat="1" ht="14.25" customHeight="1" x14ac:dyDescent="0.25">
      <c r="A2077" s="14"/>
      <c r="B2077" s="29"/>
      <c r="C2077" s="29"/>
      <c r="D2077" s="307"/>
      <c r="E2077" s="279" t="s">
        <v>754</v>
      </c>
      <c r="F2077" s="250"/>
      <c r="G2077" s="250"/>
      <c r="H2077" s="250"/>
      <c r="I2077" s="250"/>
      <c r="J2077" s="250"/>
      <c r="K2077" s="250"/>
      <c r="L2077" s="250"/>
      <c r="M2077" s="250"/>
      <c r="N2077" s="250"/>
      <c r="O2077" s="306"/>
      <c r="P2077" s="459">
        <f>'[1]5.LO'!E225</f>
        <v>5514500</v>
      </c>
      <c r="Q2077" s="460"/>
      <c r="R2077" s="460"/>
      <c r="S2077" s="460"/>
      <c r="T2077" s="460"/>
      <c r="U2077" s="461"/>
      <c r="V2077" s="296"/>
    </row>
    <row r="2078" spans="1:22" s="16" customFormat="1" ht="14.25" customHeight="1" x14ac:dyDescent="0.25">
      <c r="A2078" s="14"/>
      <c r="B2078" s="29"/>
      <c r="C2078" s="29"/>
      <c r="D2078" s="307"/>
      <c r="E2078" s="279" t="s">
        <v>755</v>
      </c>
      <c r="F2078" s="250"/>
      <c r="G2078" s="250"/>
      <c r="H2078" s="250"/>
      <c r="I2078" s="250"/>
      <c r="J2078" s="250"/>
      <c r="K2078" s="250"/>
      <c r="L2078" s="250"/>
      <c r="M2078" s="250"/>
      <c r="N2078" s="250"/>
      <c r="O2078" s="306"/>
      <c r="P2078" s="459">
        <f>'[1]5.LO'!E226</f>
        <v>580000</v>
      </c>
      <c r="Q2078" s="460"/>
      <c r="R2078" s="460"/>
      <c r="S2078" s="460"/>
      <c r="T2078" s="460"/>
      <c r="U2078" s="461"/>
      <c r="V2078" s="296"/>
    </row>
    <row r="2079" spans="1:22" s="16" customFormat="1" ht="14.25" customHeight="1" x14ac:dyDescent="0.25">
      <c r="A2079" s="14"/>
      <c r="B2079" s="29"/>
      <c r="C2079" s="29"/>
      <c r="D2079" s="307"/>
      <c r="E2079" s="279" t="s">
        <v>756</v>
      </c>
      <c r="F2079" s="250"/>
      <c r="G2079" s="250"/>
      <c r="H2079" s="250"/>
      <c r="I2079" s="250"/>
      <c r="J2079" s="250"/>
      <c r="K2079" s="250"/>
      <c r="L2079" s="250"/>
      <c r="M2079" s="250"/>
      <c r="N2079" s="250"/>
      <c r="O2079" s="306"/>
      <c r="P2079" s="459">
        <f>'[1]5.LO'!E227</f>
        <v>0</v>
      </c>
      <c r="Q2079" s="460"/>
      <c r="R2079" s="460"/>
      <c r="S2079" s="460"/>
      <c r="T2079" s="460"/>
      <c r="U2079" s="461"/>
      <c r="V2079" s="296"/>
    </row>
    <row r="2080" spans="1:22" s="16" customFormat="1" ht="14.25" customHeight="1" x14ac:dyDescent="0.25">
      <c r="A2080" s="14"/>
      <c r="B2080" s="29"/>
      <c r="C2080" s="29"/>
      <c r="D2080" s="307"/>
      <c r="E2080" s="279" t="s">
        <v>757</v>
      </c>
      <c r="F2080" s="250"/>
      <c r="G2080" s="250"/>
      <c r="H2080" s="250"/>
      <c r="I2080" s="250"/>
      <c r="J2080" s="250"/>
      <c r="K2080" s="250"/>
      <c r="L2080" s="250"/>
      <c r="M2080" s="250"/>
      <c r="N2080" s="250"/>
      <c r="O2080" s="306"/>
      <c r="P2080" s="459">
        <f>'[1]5.LO'!E228</f>
        <v>0</v>
      </c>
      <c r="Q2080" s="460"/>
      <c r="R2080" s="460"/>
      <c r="S2080" s="460"/>
      <c r="T2080" s="460"/>
      <c r="U2080" s="461"/>
      <c r="V2080" s="296"/>
    </row>
    <row r="2081" spans="1:22" s="16" customFormat="1" ht="14.25" customHeight="1" x14ac:dyDescent="0.25">
      <c r="A2081" s="14"/>
      <c r="B2081" s="29"/>
      <c r="C2081" s="29"/>
      <c r="D2081" s="307"/>
      <c r="E2081" s="279" t="s">
        <v>758</v>
      </c>
      <c r="F2081" s="250"/>
      <c r="G2081" s="250"/>
      <c r="H2081" s="250"/>
      <c r="I2081" s="250"/>
      <c r="J2081" s="250"/>
      <c r="K2081" s="250"/>
      <c r="L2081" s="250"/>
      <c r="M2081" s="250"/>
      <c r="N2081" s="250"/>
      <c r="O2081" s="306"/>
      <c r="P2081" s="459">
        <f>'[1]5.LO'!E229</f>
        <v>0</v>
      </c>
      <c r="Q2081" s="460"/>
      <c r="R2081" s="460"/>
      <c r="S2081" s="460"/>
      <c r="T2081" s="460"/>
      <c r="U2081" s="461"/>
      <c r="V2081" s="296"/>
    </row>
    <row r="2082" spans="1:22" s="16" customFormat="1" ht="14.25" customHeight="1" x14ac:dyDescent="0.25">
      <c r="A2082" s="14"/>
      <c r="B2082" s="29"/>
      <c r="C2082" s="29"/>
      <c r="D2082" s="307"/>
      <c r="E2082" s="279" t="s">
        <v>759</v>
      </c>
      <c r="F2082" s="250"/>
      <c r="G2082" s="250"/>
      <c r="H2082" s="250"/>
      <c r="I2082" s="250"/>
      <c r="J2082" s="250"/>
      <c r="K2082" s="250"/>
      <c r="L2082" s="250"/>
      <c r="M2082" s="250"/>
      <c r="N2082" s="250"/>
      <c r="O2082" s="306"/>
      <c r="P2082" s="459">
        <f>'[1]5.LO'!E230</f>
        <v>0</v>
      </c>
      <c r="Q2082" s="460"/>
      <c r="R2082" s="460"/>
      <c r="S2082" s="460"/>
      <c r="T2082" s="460"/>
      <c r="U2082" s="461"/>
      <c r="V2082" s="296"/>
    </row>
    <row r="2083" spans="1:22" s="16" customFormat="1" ht="14.25" customHeight="1" x14ac:dyDescent="0.25">
      <c r="A2083" s="14"/>
      <c r="B2083" s="29"/>
      <c r="C2083" s="29"/>
      <c r="D2083" s="307"/>
      <c r="E2083" s="279" t="s">
        <v>760</v>
      </c>
      <c r="F2083" s="250"/>
      <c r="G2083" s="250"/>
      <c r="H2083" s="250"/>
      <c r="I2083" s="250"/>
      <c r="J2083" s="250"/>
      <c r="K2083" s="250"/>
      <c r="L2083" s="250"/>
      <c r="M2083" s="250"/>
      <c r="N2083" s="250"/>
      <c r="O2083" s="306"/>
      <c r="P2083" s="459">
        <f>'[1]5.LO'!E231</f>
        <v>126426000</v>
      </c>
      <c r="Q2083" s="460"/>
      <c r="R2083" s="460"/>
      <c r="S2083" s="460"/>
      <c r="T2083" s="460"/>
      <c r="U2083" s="461"/>
      <c r="V2083" s="296"/>
    </row>
    <row r="2084" spans="1:22" s="16" customFormat="1" ht="14.25" customHeight="1" x14ac:dyDescent="0.25">
      <c r="A2084" s="14"/>
      <c r="B2084" s="29"/>
      <c r="C2084" s="29"/>
      <c r="D2084" s="305" t="s">
        <v>761</v>
      </c>
      <c r="E2084" s="277"/>
      <c r="F2084" s="250"/>
      <c r="G2084" s="250"/>
      <c r="H2084" s="250"/>
      <c r="I2084" s="250"/>
      <c r="J2084" s="250"/>
      <c r="K2084" s="250"/>
      <c r="L2084" s="250"/>
      <c r="M2084" s="250"/>
      <c r="N2084" s="250"/>
      <c r="O2084" s="306"/>
      <c r="P2084" s="462">
        <f>SUM(P2085:U2087)</f>
        <v>174693000</v>
      </c>
      <c r="Q2084" s="463"/>
      <c r="R2084" s="463"/>
      <c r="S2084" s="463"/>
      <c r="T2084" s="463"/>
      <c r="U2084" s="464"/>
      <c r="V2084" s="296"/>
    </row>
    <row r="2085" spans="1:22" s="16" customFormat="1" ht="14.25" customHeight="1" x14ac:dyDescent="0.25">
      <c r="A2085" s="14"/>
      <c r="B2085" s="29"/>
      <c r="C2085" s="29"/>
      <c r="D2085" s="307"/>
      <c r="E2085" s="279" t="s">
        <v>762</v>
      </c>
      <c r="F2085" s="250"/>
      <c r="G2085" s="250"/>
      <c r="H2085" s="250"/>
      <c r="I2085" s="250"/>
      <c r="J2085" s="250"/>
      <c r="K2085" s="250"/>
      <c r="L2085" s="250"/>
      <c r="M2085" s="250"/>
      <c r="N2085" s="250"/>
      <c r="O2085" s="306"/>
      <c r="P2085" s="459">
        <f>'[1]5.LO'!E233</f>
        <v>174693000</v>
      </c>
      <c r="Q2085" s="460"/>
      <c r="R2085" s="460"/>
      <c r="S2085" s="460"/>
      <c r="T2085" s="460"/>
      <c r="U2085" s="461"/>
      <c r="V2085" s="296"/>
    </row>
    <row r="2086" spans="1:22" s="16" customFormat="1" ht="14.25" customHeight="1" x14ac:dyDescent="0.25">
      <c r="A2086" s="14"/>
      <c r="B2086" s="29"/>
      <c r="C2086" s="29"/>
      <c r="D2086" s="307"/>
      <c r="E2086" s="308" t="s">
        <v>763</v>
      </c>
      <c r="F2086" s="250"/>
      <c r="G2086" s="250"/>
      <c r="H2086" s="250"/>
      <c r="I2086" s="250"/>
      <c r="J2086" s="250"/>
      <c r="K2086" s="250"/>
      <c r="L2086" s="250"/>
      <c r="M2086" s="250"/>
      <c r="N2086" s="250"/>
      <c r="O2086" s="306"/>
      <c r="P2086" s="309"/>
      <c r="Q2086" s="310"/>
      <c r="R2086" s="310"/>
      <c r="S2086" s="310"/>
      <c r="T2086" s="310"/>
      <c r="U2086" s="311"/>
      <c r="V2086" s="296"/>
    </row>
    <row r="2087" spans="1:22" s="16" customFormat="1" ht="14.25" customHeight="1" x14ac:dyDescent="0.25">
      <c r="A2087" s="14"/>
      <c r="B2087" s="29"/>
      <c r="C2087" s="29"/>
      <c r="D2087" s="307"/>
      <c r="E2087" s="308" t="s">
        <v>764</v>
      </c>
      <c r="F2087" s="250"/>
      <c r="G2087" s="250"/>
      <c r="H2087" s="250"/>
      <c r="I2087" s="250"/>
      <c r="J2087" s="250"/>
      <c r="K2087" s="250"/>
      <c r="L2087" s="250"/>
      <c r="M2087" s="250"/>
      <c r="N2087" s="250"/>
      <c r="O2087" s="306"/>
      <c r="P2087" s="309"/>
      <c r="Q2087" s="310"/>
      <c r="R2087" s="310"/>
      <c r="S2087" s="310"/>
      <c r="T2087" s="310"/>
      <c r="U2087" s="311"/>
      <c r="V2087" s="296"/>
    </row>
    <row r="2088" spans="1:22" s="16" customFormat="1" ht="14.25" customHeight="1" x14ac:dyDescent="0.25">
      <c r="A2088" s="14"/>
      <c r="B2088" s="29"/>
      <c r="C2088" s="29"/>
      <c r="D2088" s="305" t="s">
        <v>765</v>
      </c>
      <c r="E2088" s="277"/>
      <c r="F2088" s="250"/>
      <c r="G2088" s="250"/>
      <c r="H2088" s="250"/>
      <c r="I2088" s="250"/>
      <c r="J2088" s="250"/>
      <c r="K2088" s="250"/>
      <c r="L2088" s="250"/>
      <c r="M2088" s="250"/>
      <c r="N2088" s="250"/>
      <c r="O2088" s="306"/>
      <c r="P2088" s="462">
        <f>SUM(P2089:U2104)</f>
        <v>234409000</v>
      </c>
      <c r="Q2088" s="463"/>
      <c r="R2088" s="463"/>
      <c r="S2088" s="463"/>
      <c r="T2088" s="463"/>
      <c r="U2088" s="464"/>
      <c r="V2088" s="296"/>
    </row>
    <row r="2089" spans="1:22" s="16" customFormat="1" ht="14.25" customHeight="1" x14ac:dyDescent="0.25">
      <c r="A2089" s="14"/>
      <c r="B2089" s="29"/>
      <c r="C2089" s="29"/>
      <c r="D2089" s="307"/>
      <c r="E2089" s="279" t="s">
        <v>766</v>
      </c>
      <c r="F2089" s="250"/>
      <c r="G2089" s="250"/>
      <c r="H2089" s="250"/>
      <c r="I2089" s="250"/>
      <c r="J2089" s="250"/>
      <c r="K2089" s="250"/>
      <c r="L2089" s="250"/>
      <c r="M2089" s="250"/>
      <c r="N2089" s="250"/>
      <c r="O2089" s="306"/>
      <c r="P2089" s="459">
        <f>'[1]5.LO'!E237</f>
        <v>16409000</v>
      </c>
      <c r="Q2089" s="460"/>
      <c r="R2089" s="460"/>
      <c r="S2089" s="460"/>
      <c r="T2089" s="460"/>
      <c r="U2089" s="461"/>
      <c r="V2089" s="296"/>
    </row>
    <row r="2090" spans="1:22" s="16" customFormat="1" ht="14.25" customHeight="1" x14ac:dyDescent="0.25">
      <c r="A2090" s="14"/>
      <c r="B2090" s="29"/>
      <c r="C2090" s="29"/>
      <c r="D2090" s="307"/>
      <c r="E2090" s="279" t="s">
        <v>767</v>
      </c>
      <c r="F2090" s="250"/>
      <c r="G2090" s="250"/>
      <c r="H2090" s="250"/>
      <c r="I2090" s="250"/>
      <c r="J2090" s="250"/>
      <c r="K2090" s="250"/>
      <c r="L2090" s="250"/>
      <c r="M2090" s="250"/>
      <c r="N2090" s="250"/>
      <c r="O2090" s="306"/>
      <c r="P2090" s="459">
        <f>'[1]5.LO'!E238</f>
        <v>0</v>
      </c>
      <c r="Q2090" s="460"/>
      <c r="R2090" s="460"/>
      <c r="S2090" s="460"/>
      <c r="T2090" s="460"/>
      <c r="U2090" s="461"/>
      <c r="V2090" s="296"/>
    </row>
    <row r="2091" spans="1:22" s="16" customFormat="1" ht="14.25" customHeight="1" x14ac:dyDescent="0.25">
      <c r="A2091" s="14"/>
      <c r="B2091" s="29"/>
      <c r="C2091" s="29"/>
      <c r="D2091" s="307"/>
      <c r="E2091" s="279" t="s">
        <v>768</v>
      </c>
      <c r="F2091" s="250"/>
      <c r="G2091" s="250"/>
      <c r="H2091" s="250"/>
      <c r="I2091" s="250"/>
      <c r="J2091" s="250"/>
      <c r="K2091" s="250"/>
      <c r="L2091" s="250"/>
      <c r="M2091" s="250"/>
      <c r="N2091" s="250"/>
      <c r="O2091" s="306"/>
      <c r="P2091" s="459">
        <f>'[1]5.LO'!E239</f>
        <v>0</v>
      </c>
      <c r="Q2091" s="460"/>
      <c r="R2091" s="460"/>
      <c r="S2091" s="460"/>
      <c r="T2091" s="460"/>
      <c r="U2091" s="461"/>
      <c r="V2091" s="296"/>
    </row>
    <row r="2092" spans="1:22" s="16" customFormat="1" ht="14.25" customHeight="1" x14ac:dyDescent="0.25">
      <c r="A2092" s="14"/>
      <c r="B2092" s="29"/>
      <c r="C2092" s="29"/>
      <c r="D2092" s="307"/>
      <c r="E2092" s="279" t="s">
        <v>769</v>
      </c>
      <c r="F2092" s="250"/>
      <c r="G2092" s="250"/>
      <c r="H2092" s="250"/>
      <c r="I2092" s="250"/>
      <c r="J2092" s="250"/>
      <c r="K2092" s="250"/>
      <c r="L2092" s="250"/>
      <c r="M2092" s="250"/>
      <c r="N2092" s="250"/>
      <c r="O2092" s="306"/>
      <c r="P2092" s="459">
        <f>'[1]5.LO'!E240</f>
        <v>0</v>
      </c>
      <c r="Q2092" s="460"/>
      <c r="R2092" s="460"/>
      <c r="S2092" s="460"/>
      <c r="T2092" s="460"/>
      <c r="U2092" s="461"/>
      <c r="V2092" s="296"/>
    </row>
    <row r="2093" spans="1:22" s="16" customFormat="1" ht="14.25" customHeight="1" x14ac:dyDescent="0.25">
      <c r="A2093" s="14"/>
      <c r="B2093" s="29"/>
      <c r="C2093" s="29"/>
      <c r="D2093" s="307"/>
      <c r="E2093" s="279" t="s">
        <v>770</v>
      </c>
      <c r="F2093" s="250"/>
      <c r="G2093" s="250"/>
      <c r="H2093" s="250"/>
      <c r="I2093" s="250"/>
      <c r="J2093" s="250"/>
      <c r="K2093" s="250"/>
      <c r="L2093" s="250"/>
      <c r="M2093" s="250"/>
      <c r="N2093" s="250"/>
      <c r="O2093" s="306"/>
      <c r="P2093" s="459">
        <f>'[1]5.LO'!E241</f>
        <v>0</v>
      </c>
      <c r="Q2093" s="460"/>
      <c r="R2093" s="460"/>
      <c r="S2093" s="460"/>
      <c r="T2093" s="460"/>
      <c r="U2093" s="461"/>
      <c r="V2093" s="296"/>
    </row>
    <row r="2094" spans="1:22" s="16" customFormat="1" ht="14.25" customHeight="1" x14ac:dyDescent="0.25">
      <c r="A2094" s="14"/>
      <c r="B2094" s="29"/>
      <c r="C2094" s="29"/>
      <c r="D2094" s="307"/>
      <c r="E2094" s="279" t="s">
        <v>771</v>
      </c>
      <c r="F2094" s="250"/>
      <c r="G2094" s="250"/>
      <c r="H2094" s="250"/>
      <c r="I2094" s="250"/>
      <c r="J2094" s="250"/>
      <c r="K2094" s="250"/>
      <c r="L2094" s="250"/>
      <c r="M2094" s="250"/>
      <c r="N2094" s="250"/>
      <c r="O2094" s="306"/>
      <c r="P2094" s="459">
        <f>'[1]5.LO'!E242</f>
        <v>214250000</v>
      </c>
      <c r="Q2094" s="460"/>
      <c r="R2094" s="460"/>
      <c r="S2094" s="460"/>
      <c r="T2094" s="460"/>
      <c r="U2094" s="461"/>
      <c r="V2094" s="296"/>
    </row>
    <row r="2095" spans="1:22" s="16" customFormat="1" ht="14.25" customHeight="1" x14ac:dyDescent="0.25">
      <c r="A2095" s="14"/>
      <c r="B2095" s="29"/>
      <c r="C2095" s="29"/>
      <c r="D2095" s="307"/>
      <c r="E2095" s="279" t="s">
        <v>772</v>
      </c>
      <c r="F2095" s="250"/>
      <c r="G2095" s="250"/>
      <c r="H2095" s="250"/>
      <c r="I2095" s="250"/>
      <c r="J2095" s="250"/>
      <c r="K2095" s="250"/>
      <c r="L2095" s="250"/>
      <c r="M2095" s="250"/>
      <c r="N2095" s="250"/>
      <c r="O2095" s="306"/>
      <c r="P2095" s="459">
        <f>'[1]5.LO'!E243</f>
        <v>0</v>
      </c>
      <c r="Q2095" s="460"/>
      <c r="R2095" s="460"/>
      <c r="S2095" s="460"/>
      <c r="T2095" s="460"/>
      <c r="U2095" s="461"/>
      <c r="V2095" s="296"/>
    </row>
    <row r="2096" spans="1:22" s="16" customFormat="1" ht="14.25" customHeight="1" x14ac:dyDescent="0.25">
      <c r="A2096" s="14"/>
      <c r="B2096" s="29"/>
      <c r="C2096" s="29"/>
      <c r="D2096" s="307"/>
      <c r="E2096" s="279" t="s">
        <v>773</v>
      </c>
      <c r="F2096" s="250"/>
      <c r="G2096" s="250"/>
      <c r="H2096" s="250"/>
      <c r="I2096" s="250"/>
      <c r="J2096" s="250"/>
      <c r="K2096" s="250"/>
      <c r="L2096" s="250"/>
      <c r="M2096" s="250"/>
      <c r="N2096" s="250"/>
      <c r="O2096" s="306"/>
      <c r="P2096" s="459">
        <f>'[1]5.LO'!E244</f>
        <v>0</v>
      </c>
      <c r="Q2096" s="460"/>
      <c r="R2096" s="460"/>
      <c r="S2096" s="460"/>
      <c r="T2096" s="460"/>
      <c r="U2096" s="461"/>
      <c r="V2096" s="296"/>
    </row>
    <row r="2097" spans="1:22" s="16" customFormat="1" ht="14.25" customHeight="1" x14ac:dyDescent="0.25">
      <c r="A2097" s="14"/>
      <c r="B2097" s="29"/>
      <c r="C2097" s="29"/>
      <c r="D2097" s="307"/>
      <c r="E2097" s="279" t="s">
        <v>774</v>
      </c>
      <c r="F2097" s="250"/>
      <c r="G2097" s="250"/>
      <c r="H2097" s="250"/>
      <c r="I2097" s="250"/>
      <c r="J2097" s="250"/>
      <c r="K2097" s="250"/>
      <c r="L2097" s="250"/>
      <c r="M2097" s="250"/>
      <c r="N2097" s="250"/>
      <c r="O2097" s="306"/>
      <c r="P2097" s="459">
        <f>'[1]5.LO'!E245</f>
        <v>0</v>
      </c>
      <c r="Q2097" s="460"/>
      <c r="R2097" s="460"/>
      <c r="S2097" s="460"/>
      <c r="T2097" s="460"/>
      <c r="U2097" s="461"/>
      <c r="V2097" s="296"/>
    </row>
    <row r="2098" spans="1:22" s="16" customFormat="1" ht="14.25" customHeight="1" x14ac:dyDescent="0.25">
      <c r="A2098" s="14"/>
      <c r="B2098" s="29"/>
      <c r="C2098" s="29"/>
      <c r="D2098" s="307"/>
      <c r="E2098" s="279" t="s">
        <v>775</v>
      </c>
      <c r="F2098" s="250"/>
      <c r="G2098" s="250"/>
      <c r="H2098" s="250"/>
      <c r="I2098" s="250"/>
      <c r="J2098" s="250"/>
      <c r="K2098" s="250"/>
      <c r="L2098" s="250"/>
      <c r="M2098" s="250"/>
      <c r="N2098" s="250"/>
      <c r="O2098" s="306"/>
      <c r="P2098" s="459">
        <f>'[1]5.LO'!E246</f>
        <v>0</v>
      </c>
      <c r="Q2098" s="460"/>
      <c r="R2098" s="460"/>
      <c r="S2098" s="460"/>
      <c r="T2098" s="460"/>
      <c r="U2098" s="461"/>
      <c r="V2098" s="296"/>
    </row>
    <row r="2099" spans="1:22" s="16" customFormat="1" ht="14.25" customHeight="1" x14ac:dyDescent="0.25">
      <c r="A2099" s="14"/>
      <c r="B2099" s="29"/>
      <c r="C2099" s="29"/>
      <c r="D2099" s="307"/>
      <c r="E2099" s="279" t="s">
        <v>776</v>
      </c>
      <c r="F2099" s="250"/>
      <c r="G2099" s="250"/>
      <c r="H2099" s="250"/>
      <c r="I2099" s="250"/>
      <c r="J2099" s="250"/>
      <c r="K2099" s="250"/>
      <c r="L2099" s="250"/>
      <c r="M2099" s="250"/>
      <c r="N2099" s="250"/>
      <c r="O2099" s="306"/>
      <c r="P2099" s="459">
        <f>'[1]5.LO'!E247</f>
        <v>0</v>
      </c>
      <c r="Q2099" s="460"/>
      <c r="R2099" s="460"/>
      <c r="S2099" s="460"/>
      <c r="T2099" s="460"/>
      <c r="U2099" s="461"/>
      <c r="V2099" s="296"/>
    </row>
    <row r="2100" spans="1:22" s="16" customFormat="1" ht="14.25" customHeight="1" x14ac:dyDescent="0.25">
      <c r="A2100" s="14"/>
      <c r="B2100" s="29"/>
      <c r="C2100" s="29"/>
      <c r="D2100" s="307"/>
      <c r="E2100" s="279" t="s">
        <v>777</v>
      </c>
      <c r="F2100" s="250"/>
      <c r="G2100" s="250"/>
      <c r="H2100" s="250"/>
      <c r="I2100" s="250"/>
      <c r="J2100" s="250"/>
      <c r="K2100" s="250"/>
      <c r="L2100" s="250"/>
      <c r="M2100" s="250"/>
      <c r="N2100" s="250"/>
      <c r="O2100" s="306"/>
      <c r="P2100" s="459">
        <f>'[1]5.LO'!E248</f>
        <v>0</v>
      </c>
      <c r="Q2100" s="460"/>
      <c r="R2100" s="460"/>
      <c r="S2100" s="460"/>
      <c r="T2100" s="460"/>
      <c r="U2100" s="461"/>
      <c r="V2100" s="296"/>
    </row>
    <row r="2101" spans="1:22" s="16" customFormat="1" ht="14.25" customHeight="1" x14ac:dyDescent="0.25">
      <c r="A2101" s="14"/>
      <c r="B2101" s="29"/>
      <c r="C2101" s="29"/>
      <c r="D2101" s="307"/>
      <c r="E2101" s="279" t="s">
        <v>778</v>
      </c>
      <c r="F2101" s="250"/>
      <c r="G2101" s="250"/>
      <c r="H2101" s="250"/>
      <c r="I2101" s="250"/>
      <c r="J2101" s="250"/>
      <c r="K2101" s="250"/>
      <c r="L2101" s="250"/>
      <c r="M2101" s="250"/>
      <c r="N2101" s="250"/>
      <c r="O2101" s="306"/>
      <c r="P2101" s="459">
        <f>'[1]5.LO'!E249</f>
        <v>0</v>
      </c>
      <c r="Q2101" s="460"/>
      <c r="R2101" s="460"/>
      <c r="S2101" s="460"/>
      <c r="T2101" s="460"/>
      <c r="U2101" s="461"/>
      <c r="V2101" s="296"/>
    </row>
    <row r="2102" spans="1:22" s="16" customFormat="1" ht="14.25" customHeight="1" x14ac:dyDescent="0.25">
      <c r="A2102" s="14"/>
      <c r="B2102" s="29"/>
      <c r="C2102" s="29"/>
      <c r="D2102" s="307"/>
      <c r="E2102" s="279" t="s">
        <v>779</v>
      </c>
      <c r="F2102" s="250"/>
      <c r="G2102" s="250"/>
      <c r="H2102" s="250"/>
      <c r="I2102" s="250"/>
      <c r="J2102" s="250"/>
      <c r="K2102" s="250"/>
      <c r="L2102" s="250"/>
      <c r="M2102" s="250"/>
      <c r="N2102" s="250"/>
      <c r="O2102" s="306"/>
      <c r="P2102" s="459">
        <f>'[1]5.LO'!E250</f>
        <v>0</v>
      </c>
      <c r="Q2102" s="460"/>
      <c r="R2102" s="460"/>
      <c r="S2102" s="460"/>
      <c r="T2102" s="460"/>
      <c r="U2102" s="461"/>
      <c r="V2102" s="296"/>
    </row>
    <row r="2103" spans="1:22" s="16" customFormat="1" ht="14.25" customHeight="1" x14ac:dyDescent="0.25">
      <c r="A2103" s="14"/>
      <c r="B2103" s="29"/>
      <c r="C2103" s="29"/>
      <c r="D2103" s="307"/>
      <c r="E2103" s="279" t="s">
        <v>780</v>
      </c>
      <c r="F2103" s="250"/>
      <c r="G2103" s="250"/>
      <c r="H2103" s="250"/>
      <c r="I2103" s="250"/>
      <c r="J2103" s="250"/>
      <c r="K2103" s="250"/>
      <c r="L2103" s="250"/>
      <c r="M2103" s="250"/>
      <c r="N2103" s="250"/>
      <c r="O2103" s="306"/>
      <c r="P2103" s="459">
        <f>'[1]5.LO'!E251</f>
        <v>3750000</v>
      </c>
      <c r="Q2103" s="460"/>
      <c r="R2103" s="460"/>
      <c r="S2103" s="460"/>
      <c r="T2103" s="460"/>
      <c r="U2103" s="461"/>
      <c r="V2103" s="296"/>
    </row>
    <row r="2104" spans="1:22" s="16" customFormat="1" ht="14.25" customHeight="1" x14ac:dyDescent="0.25">
      <c r="A2104" s="14"/>
      <c r="B2104" s="29"/>
      <c r="C2104" s="29"/>
      <c r="D2104" s="307"/>
      <c r="E2104" s="279" t="s">
        <v>781</v>
      </c>
      <c r="F2104" s="250"/>
      <c r="G2104" s="250"/>
      <c r="H2104" s="250"/>
      <c r="I2104" s="250"/>
      <c r="J2104" s="250"/>
      <c r="K2104" s="250"/>
      <c r="L2104" s="250"/>
      <c r="M2104" s="250"/>
      <c r="N2104" s="250"/>
      <c r="O2104" s="306"/>
      <c r="P2104" s="459">
        <f>'[1]5.LO'!E252</f>
        <v>0</v>
      </c>
      <c r="Q2104" s="460"/>
      <c r="R2104" s="460"/>
      <c r="S2104" s="460"/>
      <c r="T2104" s="460"/>
      <c r="U2104" s="461"/>
      <c r="V2104" s="296"/>
    </row>
    <row r="2105" spans="1:22" s="16" customFormat="1" ht="25.5" customHeight="1" x14ac:dyDescent="0.2">
      <c r="A2105" s="11"/>
      <c r="B2105" s="29"/>
      <c r="C2105" s="29"/>
      <c r="D2105" s="453" t="s">
        <v>782</v>
      </c>
      <c r="E2105" s="454"/>
      <c r="F2105" s="454"/>
      <c r="G2105" s="454"/>
      <c r="H2105" s="454"/>
      <c r="I2105" s="454"/>
      <c r="J2105" s="454"/>
      <c r="K2105" s="454"/>
      <c r="L2105" s="454"/>
      <c r="M2105" s="454"/>
      <c r="N2105" s="454"/>
      <c r="O2105" s="455"/>
      <c r="P2105" s="456">
        <f>P2088+P2084+P2073</f>
        <v>587691100</v>
      </c>
      <c r="Q2105" s="457"/>
      <c r="R2105" s="457"/>
      <c r="S2105" s="457"/>
      <c r="T2105" s="457"/>
      <c r="U2105" s="458"/>
      <c r="V2105" s="292"/>
    </row>
    <row r="2106" spans="1:22" s="16" customFormat="1" ht="22.5" customHeight="1" x14ac:dyDescent="0.25">
      <c r="A2106" s="14"/>
      <c r="B2106" s="29"/>
      <c r="C2106" s="29"/>
      <c r="D2106" s="29"/>
      <c r="E2106" s="29"/>
      <c r="F2106" s="29"/>
      <c r="G2106" s="29"/>
      <c r="H2106" s="29"/>
      <c r="I2106" s="29"/>
      <c r="J2106" s="312"/>
      <c r="K2106" s="312"/>
      <c r="L2106" s="312"/>
      <c r="M2106" s="312"/>
      <c r="N2106" s="312"/>
      <c r="O2106" s="312"/>
      <c r="P2106" s="312"/>
      <c r="Q2106" s="312"/>
      <c r="R2106" s="312"/>
      <c r="S2106" s="312"/>
      <c r="T2106" s="20"/>
      <c r="U2106" s="20"/>
      <c r="V2106" s="296"/>
    </row>
    <row r="2107" spans="1:22" s="16" customFormat="1" ht="22.5" customHeight="1" x14ac:dyDescent="0.25">
      <c r="A2107" s="14"/>
      <c r="B2107" s="56"/>
      <c r="C2107" s="303" t="s">
        <v>170</v>
      </c>
      <c r="D2107" s="409" t="s">
        <v>24</v>
      </c>
      <c r="E2107" s="409"/>
      <c r="F2107" s="409"/>
      <c r="G2107" s="409"/>
      <c r="H2107" s="409"/>
      <c r="I2107" s="409"/>
      <c r="J2107" s="409"/>
      <c r="K2107" s="409"/>
      <c r="L2107" s="409"/>
      <c r="M2107" s="409"/>
      <c r="N2107" s="409"/>
      <c r="O2107" s="409"/>
      <c r="P2107" s="409"/>
      <c r="Q2107" s="409"/>
      <c r="R2107" s="409"/>
      <c r="S2107" s="409"/>
      <c r="T2107" s="409"/>
      <c r="U2107" s="409"/>
      <c r="V2107" s="296"/>
    </row>
    <row r="2108" spans="1:22" s="16" customFormat="1" ht="65.25" customHeight="1" x14ac:dyDescent="0.25">
      <c r="A2108" s="14"/>
      <c r="C2108" s="29"/>
      <c r="D2108" s="407" t="str">
        <f>"Jumlah Beban  Jasa Tahun "&amp;'[1]2.ISIAN DATA SKPD'!D11&amp;" dan tahun "&amp;'[1]2.ISIAN DATA SKPD'!D12&amp;" masing-masing  sebesar Rp. "&amp;FIXED(J1983)&amp;" dan "&amp;FIXED(P1983)&amp;" mengalami kenaikan sebesar Rp. "&amp;FIXED(AC1983)&amp;" atau sebesar "&amp;FIXED(Y1983)&amp;"% dari tahun "&amp;'[1]2.ISIAN DATA SKPD'!D12&amp;"."</f>
        <v>Jumlah Beban  Jasa Tahun 2018 dan tahun 2017 masing-masing  sebesar Rp. 3.511.494.582,00 dan 1.513.121.353,00 mengalami kenaikan sebesar Rp. 1.998.373.229,00 atau sebesar 132,07% dari tahun 2017.</v>
      </c>
      <c r="E2108" s="407"/>
      <c r="F2108" s="407"/>
      <c r="G2108" s="407"/>
      <c r="H2108" s="407"/>
      <c r="I2108" s="407"/>
      <c r="J2108" s="407"/>
      <c r="K2108" s="407"/>
      <c r="L2108" s="407"/>
      <c r="M2108" s="407"/>
      <c r="N2108" s="407"/>
      <c r="O2108" s="407"/>
      <c r="P2108" s="407"/>
      <c r="Q2108" s="407"/>
      <c r="R2108" s="407"/>
      <c r="S2108" s="407"/>
      <c r="T2108" s="407"/>
      <c r="U2108" s="407"/>
      <c r="V2108" s="296"/>
    </row>
    <row r="2109" spans="1:22" s="16" customFormat="1" ht="76.5" customHeight="1" x14ac:dyDescent="0.25">
      <c r="A2109" s="14"/>
      <c r="C2109" s="29"/>
      <c r="D2109" s="407" t="s">
        <v>783</v>
      </c>
      <c r="E2109" s="407"/>
      <c r="F2109" s="407"/>
      <c r="G2109" s="407"/>
      <c r="H2109" s="407"/>
      <c r="I2109" s="407"/>
      <c r="J2109" s="407"/>
      <c r="K2109" s="407"/>
      <c r="L2109" s="407"/>
      <c r="M2109" s="407"/>
      <c r="N2109" s="407"/>
      <c r="O2109" s="407"/>
      <c r="P2109" s="407"/>
      <c r="Q2109" s="407"/>
      <c r="R2109" s="407"/>
      <c r="S2109" s="407"/>
      <c r="T2109" s="407"/>
      <c r="U2109" s="407"/>
      <c r="V2109" s="296"/>
    </row>
    <row r="2110" spans="1:22" s="16" customFormat="1" ht="33" customHeight="1" x14ac:dyDescent="0.25">
      <c r="A2110" s="14"/>
      <c r="B2110" s="23"/>
      <c r="C2110" s="23"/>
      <c r="D2110" s="407" t="str">
        <f>"Rincian Beban Barang dan Jasa untuk Tahun "&amp;'[1]2.ISIAN DATA SKPD'!D11&amp;"  adalah sebagai berikut:"</f>
        <v>Rincian Beban Barang dan Jasa untuk Tahun 2018  adalah sebagai berikut:</v>
      </c>
      <c r="E2110" s="407"/>
      <c r="F2110" s="407"/>
      <c r="G2110" s="407"/>
      <c r="H2110" s="407"/>
      <c r="I2110" s="407"/>
      <c r="J2110" s="407"/>
      <c r="K2110" s="407"/>
      <c r="L2110" s="407"/>
      <c r="M2110" s="407"/>
      <c r="N2110" s="407"/>
      <c r="O2110" s="407"/>
      <c r="P2110" s="407"/>
      <c r="Q2110" s="407"/>
      <c r="R2110" s="407"/>
      <c r="S2110" s="407"/>
      <c r="T2110" s="407"/>
      <c r="U2110" s="407"/>
      <c r="V2110" s="296"/>
    </row>
    <row r="2111" spans="1:22" s="16" customFormat="1" ht="20.25" customHeight="1" x14ac:dyDescent="0.25">
      <c r="A2111" s="14"/>
      <c r="B2111" s="23"/>
      <c r="C2111" s="23"/>
      <c r="D2111" s="77"/>
      <c r="E2111" s="77"/>
      <c r="F2111" s="77"/>
      <c r="G2111" s="77"/>
      <c r="H2111" s="77"/>
      <c r="I2111" s="77"/>
      <c r="J2111" s="77"/>
      <c r="K2111" s="77"/>
      <c r="L2111" s="77"/>
      <c r="M2111" s="77"/>
      <c r="N2111" s="77"/>
      <c r="O2111" s="77"/>
      <c r="P2111" s="77"/>
      <c r="Q2111" s="77"/>
      <c r="R2111" s="77"/>
      <c r="S2111" s="77"/>
      <c r="T2111" s="77"/>
      <c r="U2111" s="77"/>
      <c r="V2111" s="296"/>
    </row>
    <row r="2112" spans="1:22" s="16" customFormat="1" ht="22.5" customHeight="1" x14ac:dyDescent="0.25">
      <c r="A2112" s="14"/>
      <c r="B2112" s="23"/>
      <c r="C2112" s="23"/>
      <c r="D2112" s="452" t="str">
        <f>"Rincian Beban Jasa Tahun "&amp;'[1]2.ISIAN DATA SKPD'!D11&amp;""</f>
        <v>Rincian Beban Jasa Tahun 2018</v>
      </c>
      <c r="E2112" s="452"/>
      <c r="F2112" s="452"/>
      <c r="G2112" s="452"/>
      <c r="H2112" s="452"/>
      <c r="I2112" s="452"/>
      <c r="J2112" s="452"/>
      <c r="K2112" s="452"/>
      <c r="L2112" s="452"/>
      <c r="M2112" s="452"/>
      <c r="N2112" s="452"/>
      <c r="O2112" s="452"/>
      <c r="P2112" s="452"/>
      <c r="Q2112" s="452"/>
      <c r="R2112" s="452"/>
      <c r="S2112" s="452"/>
      <c r="T2112" s="452"/>
      <c r="U2112" s="452"/>
      <c r="V2112" s="296"/>
    </row>
    <row r="2113" spans="1:22" s="16" customFormat="1" ht="22.5" customHeight="1" x14ac:dyDescent="0.25">
      <c r="A2113" s="14"/>
      <c r="B2113" s="23"/>
      <c r="C2113" s="23"/>
      <c r="D2113" s="425" t="s">
        <v>784</v>
      </c>
      <c r="E2113" s="426"/>
      <c r="F2113" s="426"/>
      <c r="G2113" s="426"/>
      <c r="H2113" s="426"/>
      <c r="I2113" s="426"/>
      <c r="J2113" s="426"/>
      <c r="K2113" s="426"/>
      <c r="L2113" s="426"/>
      <c r="M2113" s="426"/>
      <c r="N2113" s="426"/>
      <c r="O2113" s="427"/>
      <c r="P2113" s="428" t="s">
        <v>205</v>
      </c>
      <c r="Q2113" s="428"/>
      <c r="R2113" s="428"/>
      <c r="S2113" s="428"/>
      <c r="T2113" s="428"/>
      <c r="U2113" s="428"/>
      <c r="V2113" s="296"/>
    </row>
    <row r="2114" spans="1:22" s="16" customFormat="1" ht="14.25" customHeight="1" x14ac:dyDescent="0.25">
      <c r="A2114" s="14"/>
      <c r="B2114" s="23"/>
      <c r="C2114" s="23"/>
      <c r="D2114" s="291" t="s">
        <v>785</v>
      </c>
      <c r="E2114" s="306"/>
      <c r="F2114" s="313"/>
      <c r="G2114" s="313"/>
      <c r="H2114" s="313"/>
      <c r="I2114" s="313"/>
      <c r="J2114" s="313"/>
      <c r="K2114" s="313"/>
      <c r="L2114" s="313"/>
      <c r="M2114" s="313"/>
      <c r="N2114" s="313"/>
      <c r="O2114" s="314"/>
      <c r="P2114" s="449">
        <f>SUM(P2115:U2152)</f>
        <v>2498451082</v>
      </c>
      <c r="Q2114" s="450"/>
      <c r="R2114" s="450"/>
      <c r="S2114" s="450"/>
      <c r="T2114" s="450"/>
      <c r="U2114" s="451"/>
      <c r="V2114" s="296"/>
    </row>
    <row r="2115" spans="1:22" s="16" customFormat="1" ht="14.25" customHeight="1" x14ac:dyDescent="0.25">
      <c r="A2115" s="14"/>
      <c r="B2115" s="23"/>
      <c r="C2115" s="23"/>
      <c r="D2115" s="261"/>
      <c r="E2115" s="308" t="s">
        <v>786</v>
      </c>
      <c r="F2115" s="313"/>
      <c r="G2115" s="313"/>
      <c r="H2115" s="313"/>
      <c r="I2115" s="313"/>
      <c r="J2115" s="313"/>
      <c r="K2115" s="313"/>
      <c r="L2115" s="313"/>
      <c r="M2115" s="313"/>
      <c r="N2115" s="313"/>
      <c r="O2115" s="314"/>
      <c r="P2115" s="415">
        <f>'[1]5.LO'!E255</f>
        <v>11200175</v>
      </c>
      <c r="Q2115" s="416"/>
      <c r="R2115" s="416"/>
      <c r="S2115" s="416"/>
      <c r="T2115" s="416"/>
      <c r="U2115" s="417"/>
      <c r="V2115" s="296"/>
    </row>
    <row r="2116" spans="1:22" s="16" customFormat="1" ht="14.25" customHeight="1" x14ac:dyDescent="0.25">
      <c r="A2116" s="14"/>
      <c r="B2116" s="23"/>
      <c r="C2116" s="23"/>
      <c r="D2116" s="261"/>
      <c r="E2116" s="308" t="s">
        <v>787</v>
      </c>
      <c r="F2116" s="313"/>
      <c r="G2116" s="313"/>
      <c r="H2116" s="313"/>
      <c r="I2116" s="313"/>
      <c r="J2116" s="313"/>
      <c r="K2116" s="313"/>
      <c r="L2116" s="313"/>
      <c r="M2116" s="313"/>
      <c r="N2116" s="313"/>
      <c r="O2116" s="314"/>
      <c r="P2116" s="415">
        <f>'[1]5.LO'!E256</f>
        <v>3454338</v>
      </c>
      <c r="Q2116" s="416"/>
      <c r="R2116" s="416"/>
      <c r="S2116" s="416"/>
      <c r="T2116" s="416"/>
      <c r="U2116" s="417"/>
      <c r="V2116" s="296"/>
    </row>
    <row r="2117" spans="1:22" s="16" customFormat="1" ht="14.25" customHeight="1" x14ac:dyDescent="0.25">
      <c r="A2117" s="14"/>
      <c r="B2117" s="23"/>
      <c r="C2117" s="23"/>
      <c r="D2117" s="261"/>
      <c r="E2117" s="308" t="s">
        <v>788</v>
      </c>
      <c r="F2117" s="313"/>
      <c r="G2117" s="313"/>
      <c r="H2117" s="313"/>
      <c r="I2117" s="313"/>
      <c r="J2117" s="313"/>
      <c r="K2117" s="313"/>
      <c r="L2117" s="313"/>
      <c r="M2117" s="313"/>
      <c r="N2117" s="313"/>
      <c r="O2117" s="314"/>
      <c r="P2117" s="415">
        <f>'[1]5.LO'!E257</f>
        <v>41548484</v>
      </c>
      <c r="Q2117" s="416"/>
      <c r="R2117" s="416"/>
      <c r="S2117" s="416"/>
      <c r="T2117" s="416"/>
      <c r="U2117" s="417"/>
      <c r="V2117" s="296"/>
    </row>
    <row r="2118" spans="1:22" s="16" customFormat="1" ht="14.25" customHeight="1" x14ac:dyDescent="0.25">
      <c r="A2118" s="14"/>
      <c r="B2118" s="23"/>
      <c r="C2118" s="23"/>
      <c r="D2118" s="261"/>
      <c r="E2118" s="308" t="s">
        <v>789</v>
      </c>
      <c r="F2118" s="313"/>
      <c r="G2118" s="313"/>
      <c r="H2118" s="313"/>
      <c r="I2118" s="313"/>
      <c r="J2118" s="313"/>
      <c r="K2118" s="313"/>
      <c r="L2118" s="313"/>
      <c r="M2118" s="313"/>
      <c r="N2118" s="313"/>
      <c r="O2118" s="314"/>
      <c r="P2118" s="415">
        <f>'[1]5.LO'!E258</f>
        <v>3465000</v>
      </c>
      <c r="Q2118" s="416"/>
      <c r="R2118" s="416"/>
      <c r="S2118" s="416"/>
      <c r="T2118" s="416"/>
      <c r="U2118" s="417"/>
      <c r="V2118" s="296"/>
    </row>
    <row r="2119" spans="1:22" s="16" customFormat="1" ht="14.25" customHeight="1" x14ac:dyDescent="0.25">
      <c r="A2119" s="14"/>
      <c r="B2119" s="23"/>
      <c r="C2119" s="23"/>
      <c r="D2119" s="261"/>
      <c r="E2119" s="308" t="s">
        <v>790</v>
      </c>
      <c r="F2119" s="313"/>
      <c r="G2119" s="313"/>
      <c r="H2119" s="313"/>
      <c r="I2119" s="313"/>
      <c r="J2119" s="313"/>
      <c r="K2119" s="313"/>
      <c r="L2119" s="313"/>
      <c r="M2119" s="313"/>
      <c r="N2119" s="313"/>
      <c r="O2119" s="314"/>
      <c r="P2119" s="415">
        <f>'[1]5.LO'!E259</f>
        <v>0</v>
      </c>
      <c r="Q2119" s="416"/>
      <c r="R2119" s="416"/>
      <c r="S2119" s="416"/>
      <c r="T2119" s="416"/>
      <c r="U2119" s="417"/>
      <c r="V2119" s="296"/>
    </row>
    <row r="2120" spans="1:22" s="16" customFormat="1" ht="14.25" customHeight="1" x14ac:dyDescent="0.25">
      <c r="A2120" s="14"/>
      <c r="B2120" s="23"/>
      <c r="C2120" s="23"/>
      <c r="D2120" s="261"/>
      <c r="E2120" s="308" t="s">
        <v>791</v>
      </c>
      <c r="F2120" s="313"/>
      <c r="G2120" s="313"/>
      <c r="H2120" s="313"/>
      <c r="I2120" s="313"/>
      <c r="J2120" s="313"/>
      <c r="K2120" s="313"/>
      <c r="L2120" s="313"/>
      <c r="M2120" s="313"/>
      <c r="N2120" s="313"/>
      <c r="O2120" s="314"/>
      <c r="P2120" s="415">
        <f>'[1]5.LO'!E260</f>
        <v>0</v>
      </c>
      <c r="Q2120" s="416"/>
      <c r="R2120" s="416"/>
      <c r="S2120" s="416"/>
      <c r="T2120" s="416"/>
      <c r="U2120" s="417"/>
      <c r="V2120" s="296"/>
    </row>
    <row r="2121" spans="1:22" s="16" customFormat="1" ht="14.25" customHeight="1" x14ac:dyDescent="0.25">
      <c r="A2121" s="14"/>
      <c r="B2121" s="23"/>
      <c r="C2121" s="23"/>
      <c r="D2121" s="261"/>
      <c r="E2121" s="308" t="s">
        <v>792</v>
      </c>
      <c r="F2121" s="313"/>
      <c r="G2121" s="313"/>
      <c r="H2121" s="313"/>
      <c r="I2121" s="313"/>
      <c r="J2121" s="313"/>
      <c r="K2121" s="313"/>
      <c r="L2121" s="313"/>
      <c r="M2121" s="313"/>
      <c r="N2121" s="313"/>
      <c r="O2121" s="314"/>
      <c r="P2121" s="415">
        <f>'[1]5.LO'!E261</f>
        <v>0</v>
      </c>
      <c r="Q2121" s="416"/>
      <c r="R2121" s="416"/>
      <c r="S2121" s="416"/>
      <c r="T2121" s="416"/>
      <c r="U2121" s="417"/>
      <c r="V2121" s="296"/>
    </row>
    <row r="2122" spans="1:22" s="16" customFormat="1" ht="14.25" customHeight="1" x14ac:dyDescent="0.25">
      <c r="A2122" s="14"/>
      <c r="B2122" s="23"/>
      <c r="C2122" s="23"/>
      <c r="D2122" s="261"/>
      <c r="E2122" s="308" t="s">
        <v>793</v>
      </c>
      <c r="F2122" s="313"/>
      <c r="G2122" s="313"/>
      <c r="H2122" s="313"/>
      <c r="I2122" s="313"/>
      <c r="J2122" s="313"/>
      <c r="K2122" s="313"/>
      <c r="L2122" s="313"/>
      <c r="M2122" s="313"/>
      <c r="N2122" s="313"/>
      <c r="O2122" s="314"/>
      <c r="P2122" s="415">
        <f>'[1]5.LO'!E262</f>
        <v>189050000</v>
      </c>
      <c r="Q2122" s="416"/>
      <c r="R2122" s="416"/>
      <c r="S2122" s="416"/>
      <c r="T2122" s="416"/>
      <c r="U2122" s="417"/>
      <c r="V2122" s="296"/>
    </row>
    <row r="2123" spans="1:22" s="16" customFormat="1" ht="14.25" customHeight="1" x14ac:dyDescent="0.25">
      <c r="A2123" s="14"/>
      <c r="B2123" s="23"/>
      <c r="C2123" s="23"/>
      <c r="D2123" s="261"/>
      <c r="E2123" s="308" t="s">
        <v>794</v>
      </c>
      <c r="F2123" s="313"/>
      <c r="G2123" s="313"/>
      <c r="H2123" s="313"/>
      <c r="I2123" s="313"/>
      <c r="J2123" s="313"/>
      <c r="K2123" s="313"/>
      <c r="L2123" s="313"/>
      <c r="M2123" s="313"/>
      <c r="N2123" s="313"/>
      <c r="O2123" s="314"/>
      <c r="P2123" s="415">
        <f>'[1]5.LO'!E263</f>
        <v>0</v>
      </c>
      <c r="Q2123" s="416"/>
      <c r="R2123" s="416"/>
      <c r="S2123" s="416"/>
      <c r="T2123" s="416"/>
      <c r="U2123" s="417"/>
      <c r="V2123" s="296"/>
    </row>
    <row r="2124" spans="1:22" s="16" customFormat="1" ht="14.25" customHeight="1" x14ac:dyDescent="0.25">
      <c r="A2124" s="14"/>
      <c r="B2124" s="23"/>
      <c r="C2124" s="23"/>
      <c r="D2124" s="261"/>
      <c r="E2124" s="308" t="s">
        <v>795</v>
      </c>
      <c r="F2124" s="313"/>
      <c r="G2124" s="313"/>
      <c r="H2124" s="313"/>
      <c r="I2124" s="313"/>
      <c r="J2124" s="313"/>
      <c r="K2124" s="313"/>
      <c r="L2124" s="313"/>
      <c r="M2124" s="313"/>
      <c r="N2124" s="313"/>
      <c r="O2124" s="314"/>
      <c r="P2124" s="415">
        <f>'[1]5.LO'!E264</f>
        <v>0</v>
      </c>
      <c r="Q2124" s="416"/>
      <c r="R2124" s="416"/>
      <c r="S2124" s="416"/>
      <c r="T2124" s="416"/>
      <c r="U2124" s="417"/>
      <c r="V2124" s="296"/>
    </row>
    <row r="2125" spans="1:22" s="16" customFormat="1" ht="14.25" customHeight="1" x14ac:dyDescent="0.25">
      <c r="A2125" s="14"/>
      <c r="B2125" s="23"/>
      <c r="C2125" s="23"/>
      <c r="D2125" s="261"/>
      <c r="E2125" s="308" t="s">
        <v>796</v>
      </c>
      <c r="F2125" s="313"/>
      <c r="G2125" s="313"/>
      <c r="H2125" s="313"/>
      <c r="I2125" s="313"/>
      <c r="J2125" s="313"/>
      <c r="K2125" s="313"/>
      <c r="L2125" s="313"/>
      <c r="M2125" s="313"/>
      <c r="N2125" s="313"/>
      <c r="O2125" s="314"/>
      <c r="P2125" s="415">
        <f>'[1]5.LO'!E265</f>
        <v>0</v>
      </c>
      <c r="Q2125" s="416"/>
      <c r="R2125" s="416"/>
      <c r="S2125" s="416"/>
      <c r="T2125" s="416"/>
      <c r="U2125" s="417"/>
      <c r="V2125" s="296"/>
    </row>
    <row r="2126" spans="1:22" s="16" customFormat="1" ht="14.25" customHeight="1" x14ac:dyDescent="0.25">
      <c r="A2126" s="14"/>
      <c r="B2126" s="23"/>
      <c r="C2126" s="23"/>
      <c r="D2126" s="261"/>
      <c r="E2126" s="308" t="s">
        <v>797</v>
      </c>
      <c r="F2126" s="313"/>
      <c r="G2126" s="313"/>
      <c r="H2126" s="313"/>
      <c r="I2126" s="313"/>
      <c r="J2126" s="313"/>
      <c r="K2126" s="313"/>
      <c r="L2126" s="313"/>
      <c r="M2126" s="313"/>
      <c r="N2126" s="313"/>
      <c r="O2126" s="314"/>
      <c r="P2126" s="415">
        <f>'[1]5.LO'!E266</f>
        <v>0</v>
      </c>
      <c r="Q2126" s="416"/>
      <c r="R2126" s="416"/>
      <c r="S2126" s="416"/>
      <c r="T2126" s="416"/>
      <c r="U2126" s="417"/>
      <c r="V2126" s="296"/>
    </row>
    <row r="2127" spans="1:22" s="16" customFormat="1" ht="14.25" customHeight="1" x14ac:dyDescent="0.25">
      <c r="A2127" s="14"/>
      <c r="B2127" s="23"/>
      <c r="C2127" s="23"/>
      <c r="D2127" s="261"/>
      <c r="E2127" s="308" t="s">
        <v>798</v>
      </c>
      <c r="F2127" s="313"/>
      <c r="G2127" s="313"/>
      <c r="H2127" s="313"/>
      <c r="I2127" s="313"/>
      <c r="J2127" s="313"/>
      <c r="K2127" s="313"/>
      <c r="L2127" s="313"/>
      <c r="M2127" s="313"/>
      <c r="N2127" s="313"/>
      <c r="O2127" s="314"/>
      <c r="P2127" s="415">
        <f>'[1]5.LO'!E267</f>
        <v>410865000</v>
      </c>
      <c r="Q2127" s="416"/>
      <c r="R2127" s="416"/>
      <c r="S2127" s="416"/>
      <c r="T2127" s="416"/>
      <c r="U2127" s="417"/>
      <c r="V2127" s="296"/>
    </row>
    <row r="2128" spans="1:22" s="16" customFormat="1" ht="14.25" customHeight="1" x14ac:dyDescent="0.25">
      <c r="A2128" s="14"/>
      <c r="B2128" s="23"/>
      <c r="C2128" s="23"/>
      <c r="D2128" s="261"/>
      <c r="E2128" s="308" t="s">
        <v>799</v>
      </c>
      <c r="F2128" s="313"/>
      <c r="G2128" s="313"/>
      <c r="H2128" s="313"/>
      <c r="I2128" s="313"/>
      <c r="J2128" s="313"/>
      <c r="K2128" s="313"/>
      <c r="L2128" s="313"/>
      <c r="M2128" s="313"/>
      <c r="N2128" s="313"/>
      <c r="O2128" s="314"/>
      <c r="P2128" s="415">
        <f>'[1]5.LO'!E268</f>
        <v>240000</v>
      </c>
      <c r="Q2128" s="416"/>
      <c r="R2128" s="416"/>
      <c r="S2128" s="416"/>
      <c r="T2128" s="416"/>
      <c r="U2128" s="417"/>
      <c r="V2128" s="296"/>
    </row>
    <row r="2129" spans="1:22" s="16" customFormat="1" ht="14.25" customHeight="1" x14ac:dyDescent="0.25">
      <c r="A2129" s="14"/>
      <c r="B2129" s="23"/>
      <c r="C2129" s="23"/>
      <c r="D2129" s="261"/>
      <c r="E2129" s="308" t="s">
        <v>800</v>
      </c>
      <c r="F2129" s="313"/>
      <c r="G2129" s="313"/>
      <c r="H2129" s="313"/>
      <c r="I2129" s="313"/>
      <c r="J2129" s="313"/>
      <c r="K2129" s="313"/>
      <c r="L2129" s="313"/>
      <c r="M2129" s="313"/>
      <c r="N2129" s="313"/>
      <c r="O2129" s="314"/>
      <c r="P2129" s="415">
        <f>'[1]5.LO'!E269</f>
        <v>115640000</v>
      </c>
      <c r="Q2129" s="416"/>
      <c r="R2129" s="416"/>
      <c r="S2129" s="416"/>
      <c r="T2129" s="416"/>
      <c r="U2129" s="417"/>
      <c r="V2129" s="296"/>
    </row>
    <row r="2130" spans="1:22" s="16" customFormat="1" ht="14.25" customHeight="1" x14ac:dyDescent="0.25">
      <c r="A2130" s="14"/>
      <c r="B2130" s="23"/>
      <c r="C2130" s="23"/>
      <c r="D2130" s="261"/>
      <c r="E2130" s="308" t="s">
        <v>801</v>
      </c>
      <c r="F2130" s="313"/>
      <c r="G2130" s="313"/>
      <c r="H2130" s="313"/>
      <c r="I2130" s="313"/>
      <c r="J2130" s="313"/>
      <c r="K2130" s="313"/>
      <c r="L2130" s="313"/>
      <c r="M2130" s="313"/>
      <c r="N2130" s="313"/>
      <c r="O2130" s="314"/>
      <c r="P2130" s="415">
        <f>'[1]5.LO'!E270</f>
        <v>1693625</v>
      </c>
      <c r="Q2130" s="416"/>
      <c r="R2130" s="416"/>
      <c r="S2130" s="416"/>
      <c r="T2130" s="416"/>
      <c r="U2130" s="417"/>
      <c r="V2130" s="296"/>
    </row>
    <row r="2131" spans="1:22" s="16" customFormat="1" ht="14.25" customHeight="1" x14ac:dyDescent="0.25">
      <c r="A2131" s="14"/>
      <c r="B2131" s="23"/>
      <c r="C2131" s="23"/>
      <c r="D2131" s="261"/>
      <c r="E2131" s="308" t="s">
        <v>802</v>
      </c>
      <c r="F2131" s="313"/>
      <c r="G2131" s="313"/>
      <c r="H2131" s="313"/>
      <c r="I2131" s="313"/>
      <c r="J2131" s="313"/>
      <c r="K2131" s="313"/>
      <c r="L2131" s="313"/>
      <c r="M2131" s="313"/>
      <c r="N2131" s="313"/>
      <c r="O2131" s="314"/>
      <c r="P2131" s="415">
        <f>'[1]5.LO'!E271</f>
        <v>454575000</v>
      </c>
      <c r="Q2131" s="416"/>
      <c r="R2131" s="416"/>
      <c r="S2131" s="416"/>
      <c r="T2131" s="416"/>
      <c r="U2131" s="417"/>
      <c r="V2131" s="296"/>
    </row>
    <row r="2132" spans="1:22" s="16" customFormat="1" ht="14.25" customHeight="1" x14ac:dyDescent="0.25">
      <c r="A2132" s="14"/>
      <c r="B2132" s="23"/>
      <c r="C2132" s="23"/>
      <c r="D2132" s="261"/>
      <c r="E2132" s="308" t="s">
        <v>803</v>
      </c>
      <c r="F2132" s="313"/>
      <c r="G2132" s="313"/>
      <c r="H2132" s="313"/>
      <c r="I2132" s="313"/>
      <c r="J2132" s="313"/>
      <c r="K2132" s="313"/>
      <c r="L2132" s="313"/>
      <c r="M2132" s="313"/>
      <c r="N2132" s="313"/>
      <c r="O2132" s="314"/>
      <c r="P2132" s="415">
        <f>'[1]5.LO'!E272</f>
        <v>9000000</v>
      </c>
      <c r="Q2132" s="416"/>
      <c r="R2132" s="416"/>
      <c r="S2132" s="416"/>
      <c r="T2132" s="416"/>
      <c r="U2132" s="417"/>
      <c r="V2132" s="296"/>
    </row>
    <row r="2133" spans="1:22" s="16" customFormat="1" ht="14.25" customHeight="1" x14ac:dyDescent="0.25">
      <c r="A2133" s="14"/>
      <c r="B2133" s="23"/>
      <c r="C2133" s="23"/>
      <c r="D2133" s="261"/>
      <c r="E2133" s="308" t="s">
        <v>804</v>
      </c>
      <c r="F2133" s="313"/>
      <c r="G2133" s="313"/>
      <c r="H2133" s="313"/>
      <c r="I2133" s="313"/>
      <c r="J2133" s="313"/>
      <c r="K2133" s="313"/>
      <c r="L2133" s="313"/>
      <c r="M2133" s="313"/>
      <c r="N2133" s="313"/>
      <c r="O2133" s="314"/>
      <c r="P2133" s="415">
        <f>'[1]5.LO'!E273</f>
        <v>63332000</v>
      </c>
      <c r="Q2133" s="416"/>
      <c r="R2133" s="416"/>
      <c r="S2133" s="416"/>
      <c r="T2133" s="416"/>
      <c r="U2133" s="417"/>
      <c r="V2133" s="296"/>
    </row>
    <row r="2134" spans="1:22" s="16" customFormat="1" ht="14.25" customHeight="1" x14ac:dyDescent="0.25">
      <c r="A2134" s="14"/>
      <c r="B2134" s="23"/>
      <c r="C2134" s="23"/>
      <c r="D2134" s="261"/>
      <c r="E2134" s="308" t="s">
        <v>805</v>
      </c>
      <c r="F2134" s="313"/>
      <c r="G2134" s="313"/>
      <c r="H2134" s="313"/>
      <c r="I2134" s="313"/>
      <c r="J2134" s="313"/>
      <c r="K2134" s="313"/>
      <c r="L2134" s="313"/>
      <c r="M2134" s="313"/>
      <c r="N2134" s="313"/>
      <c r="O2134" s="314"/>
      <c r="P2134" s="415">
        <f>'[1]5.LO'!E274</f>
        <v>0</v>
      </c>
      <c r="Q2134" s="416"/>
      <c r="R2134" s="416"/>
      <c r="S2134" s="416"/>
      <c r="T2134" s="416"/>
      <c r="U2134" s="417"/>
      <c r="V2134" s="296"/>
    </row>
    <row r="2135" spans="1:22" s="16" customFormat="1" ht="14.25" customHeight="1" x14ac:dyDescent="0.25">
      <c r="A2135" s="14"/>
      <c r="B2135" s="23"/>
      <c r="C2135" s="23"/>
      <c r="D2135" s="261"/>
      <c r="E2135" s="308" t="s">
        <v>806</v>
      </c>
      <c r="F2135" s="313"/>
      <c r="G2135" s="313"/>
      <c r="H2135" s="313"/>
      <c r="I2135" s="313"/>
      <c r="J2135" s="313"/>
      <c r="K2135" s="313"/>
      <c r="L2135" s="313"/>
      <c r="M2135" s="313"/>
      <c r="N2135" s="313"/>
      <c r="O2135" s="314"/>
      <c r="P2135" s="415">
        <f>'[1]5.LO'!E275</f>
        <v>57450000</v>
      </c>
      <c r="Q2135" s="416"/>
      <c r="R2135" s="416"/>
      <c r="S2135" s="416"/>
      <c r="T2135" s="416"/>
      <c r="U2135" s="417"/>
      <c r="V2135" s="296"/>
    </row>
    <row r="2136" spans="1:22" s="16" customFormat="1" ht="14.25" customHeight="1" x14ac:dyDescent="0.25">
      <c r="A2136" s="14"/>
      <c r="B2136" s="23"/>
      <c r="C2136" s="23"/>
      <c r="D2136" s="261"/>
      <c r="E2136" s="308" t="s">
        <v>807</v>
      </c>
      <c r="F2136" s="313"/>
      <c r="G2136" s="313"/>
      <c r="H2136" s="313"/>
      <c r="I2136" s="313"/>
      <c r="J2136" s="313"/>
      <c r="K2136" s="313"/>
      <c r="L2136" s="313"/>
      <c r="M2136" s="313"/>
      <c r="N2136" s="313"/>
      <c r="O2136" s="314"/>
      <c r="P2136" s="415">
        <f>'[1]5.LO'!E276</f>
        <v>0</v>
      </c>
      <c r="Q2136" s="416"/>
      <c r="R2136" s="416"/>
      <c r="S2136" s="416"/>
      <c r="T2136" s="416"/>
      <c r="U2136" s="417"/>
      <c r="V2136" s="296"/>
    </row>
    <row r="2137" spans="1:22" s="16" customFormat="1" ht="14.25" customHeight="1" x14ac:dyDescent="0.25">
      <c r="A2137" s="14"/>
      <c r="B2137" s="23"/>
      <c r="C2137" s="23"/>
      <c r="D2137" s="261"/>
      <c r="E2137" s="308" t="s">
        <v>808</v>
      </c>
      <c r="F2137" s="313"/>
      <c r="G2137" s="313"/>
      <c r="H2137" s="313"/>
      <c r="I2137" s="313"/>
      <c r="J2137" s="313"/>
      <c r="K2137" s="313"/>
      <c r="L2137" s="313"/>
      <c r="M2137" s="313"/>
      <c r="N2137" s="313"/>
      <c r="O2137" s="314"/>
      <c r="P2137" s="415">
        <f>'[1]5.LO'!E277</f>
        <v>0</v>
      </c>
      <c r="Q2137" s="416"/>
      <c r="R2137" s="416"/>
      <c r="S2137" s="416"/>
      <c r="T2137" s="416"/>
      <c r="U2137" s="417"/>
      <c r="V2137" s="296"/>
    </row>
    <row r="2138" spans="1:22" s="16" customFormat="1" ht="14.25" customHeight="1" x14ac:dyDescent="0.25">
      <c r="A2138" s="14"/>
      <c r="B2138" s="23"/>
      <c r="C2138" s="23"/>
      <c r="D2138" s="261"/>
      <c r="E2138" s="308" t="s">
        <v>809</v>
      </c>
      <c r="F2138" s="313"/>
      <c r="G2138" s="313"/>
      <c r="H2138" s="313"/>
      <c r="I2138" s="313"/>
      <c r="J2138" s="313"/>
      <c r="K2138" s="313"/>
      <c r="L2138" s="313"/>
      <c r="M2138" s="313"/>
      <c r="N2138" s="313"/>
      <c r="O2138" s="314"/>
      <c r="P2138" s="415">
        <f>'[1]5.LO'!E278</f>
        <v>0</v>
      </c>
      <c r="Q2138" s="416"/>
      <c r="R2138" s="416"/>
      <c r="S2138" s="416"/>
      <c r="T2138" s="416"/>
      <c r="U2138" s="417"/>
      <c r="V2138" s="296"/>
    </row>
    <row r="2139" spans="1:22" s="16" customFormat="1" ht="14.25" customHeight="1" x14ac:dyDescent="0.25">
      <c r="A2139" s="14"/>
      <c r="B2139" s="23"/>
      <c r="C2139" s="23"/>
      <c r="D2139" s="261"/>
      <c r="E2139" s="308" t="s">
        <v>810</v>
      </c>
      <c r="F2139" s="313"/>
      <c r="G2139" s="313"/>
      <c r="H2139" s="313"/>
      <c r="I2139" s="313"/>
      <c r="J2139" s="313"/>
      <c r="K2139" s="313"/>
      <c r="L2139" s="313"/>
      <c r="M2139" s="313"/>
      <c r="N2139" s="313"/>
      <c r="O2139" s="314"/>
      <c r="P2139" s="415">
        <f>'[1]5.LO'!E279</f>
        <v>0</v>
      </c>
      <c r="Q2139" s="416"/>
      <c r="R2139" s="416"/>
      <c r="S2139" s="416"/>
      <c r="T2139" s="416"/>
      <c r="U2139" s="417"/>
      <c r="V2139" s="296"/>
    </row>
    <row r="2140" spans="1:22" s="16" customFormat="1" ht="14.25" customHeight="1" x14ac:dyDescent="0.25">
      <c r="A2140" s="14"/>
      <c r="B2140" s="23"/>
      <c r="C2140" s="23"/>
      <c r="D2140" s="261"/>
      <c r="E2140" s="308" t="s">
        <v>811</v>
      </c>
      <c r="F2140" s="313"/>
      <c r="G2140" s="313"/>
      <c r="H2140" s="313"/>
      <c r="I2140" s="313"/>
      <c r="J2140" s="313"/>
      <c r="K2140" s="313"/>
      <c r="L2140" s="313"/>
      <c r="M2140" s="313"/>
      <c r="N2140" s="313"/>
      <c r="O2140" s="314"/>
      <c r="P2140" s="415">
        <f>'[1]5.LO'!E280</f>
        <v>0</v>
      </c>
      <c r="Q2140" s="416"/>
      <c r="R2140" s="416"/>
      <c r="S2140" s="416"/>
      <c r="T2140" s="416"/>
      <c r="U2140" s="417"/>
      <c r="V2140" s="296"/>
    </row>
    <row r="2141" spans="1:22" s="16" customFormat="1" ht="14.25" customHeight="1" x14ac:dyDescent="0.25">
      <c r="A2141" s="14"/>
      <c r="B2141" s="23"/>
      <c r="C2141" s="23"/>
      <c r="D2141" s="261"/>
      <c r="E2141" s="308" t="s">
        <v>812</v>
      </c>
      <c r="F2141" s="313"/>
      <c r="G2141" s="313"/>
      <c r="H2141" s="313"/>
      <c r="I2141" s="313"/>
      <c r="J2141" s="313"/>
      <c r="K2141" s="313"/>
      <c r="L2141" s="313"/>
      <c r="M2141" s="313"/>
      <c r="N2141" s="313"/>
      <c r="O2141" s="314"/>
      <c r="P2141" s="415">
        <f>'[1]5.LO'!E281</f>
        <v>0</v>
      </c>
      <c r="Q2141" s="416"/>
      <c r="R2141" s="416"/>
      <c r="S2141" s="416"/>
      <c r="T2141" s="416"/>
      <c r="U2141" s="417"/>
      <c r="V2141" s="296"/>
    </row>
    <row r="2142" spans="1:22" s="16" customFormat="1" ht="14.25" customHeight="1" x14ac:dyDescent="0.25">
      <c r="A2142" s="14"/>
      <c r="B2142" s="23"/>
      <c r="C2142" s="23"/>
      <c r="D2142" s="261"/>
      <c r="E2142" s="308" t="s">
        <v>813</v>
      </c>
      <c r="F2142" s="313"/>
      <c r="G2142" s="313"/>
      <c r="H2142" s="313"/>
      <c r="I2142" s="313"/>
      <c r="J2142" s="313"/>
      <c r="K2142" s="313"/>
      <c r="L2142" s="313"/>
      <c r="M2142" s="313"/>
      <c r="N2142" s="313"/>
      <c r="O2142" s="314"/>
      <c r="P2142" s="415">
        <f>'[1]5.LO'!E282</f>
        <v>635042960</v>
      </c>
      <c r="Q2142" s="416"/>
      <c r="R2142" s="416"/>
      <c r="S2142" s="416"/>
      <c r="T2142" s="416"/>
      <c r="U2142" s="417"/>
      <c r="V2142" s="296"/>
    </row>
    <row r="2143" spans="1:22" s="16" customFormat="1" ht="14.25" customHeight="1" x14ac:dyDescent="0.25">
      <c r="A2143" s="14"/>
      <c r="B2143" s="23"/>
      <c r="C2143" s="23"/>
      <c r="D2143" s="261"/>
      <c r="E2143" s="308" t="s">
        <v>814</v>
      </c>
      <c r="F2143" s="313"/>
      <c r="G2143" s="313"/>
      <c r="H2143" s="313"/>
      <c r="I2143" s="313"/>
      <c r="J2143" s="313"/>
      <c r="K2143" s="313"/>
      <c r="L2143" s="313"/>
      <c r="M2143" s="313"/>
      <c r="N2143" s="313"/>
      <c r="O2143" s="314"/>
      <c r="P2143" s="415">
        <f>'[1]5.LO'!E283</f>
        <v>0</v>
      </c>
      <c r="Q2143" s="416"/>
      <c r="R2143" s="416"/>
      <c r="S2143" s="416"/>
      <c r="T2143" s="416"/>
      <c r="U2143" s="417"/>
      <c r="V2143" s="296"/>
    </row>
    <row r="2144" spans="1:22" s="16" customFormat="1" ht="14.25" customHeight="1" x14ac:dyDescent="0.25">
      <c r="A2144" s="14"/>
      <c r="B2144" s="23"/>
      <c r="C2144" s="23"/>
      <c r="D2144" s="261"/>
      <c r="E2144" s="308" t="s">
        <v>815</v>
      </c>
      <c r="F2144" s="313"/>
      <c r="G2144" s="313"/>
      <c r="H2144" s="313"/>
      <c r="I2144" s="313"/>
      <c r="J2144" s="313"/>
      <c r="K2144" s="313"/>
      <c r="L2144" s="313"/>
      <c r="M2144" s="313"/>
      <c r="N2144" s="313"/>
      <c r="O2144" s="314"/>
      <c r="P2144" s="415">
        <f>'[1]5.LO'!E284</f>
        <v>0</v>
      </c>
      <c r="Q2144" s="416"/>
      <c r="R2144" s="416"/>
      <c r="S2144" s="416"/>
      <c r="T2144" s="416"/>
      <c r="U2144" s="417"/>
      <c r="V2144" s="296"/>
    </row>
    <row r="2145" spans="1:22" s="16" customFormat="1" ht="14.25" customHeight="1" x14ac:dyDescent="0.25">
      <c r="A2145" s="14"/>
      <c r="B2145" s="23"/>
      <c r="C2145" s="23"/>
      <c r="D2145" s="315"/>
      <c r="E2145" s="308" t="s">
        <v>816</v>
      </c>
      <c r="F2145" s="313"/>
      <c r="G2145" s="313"/>
      <c r="H2145" s="313"/>
      <c r="I2145" s="313"/>
      <c r="J2145" s="313"/>
      <c r="K2145" s="313"/>
      <c r="L2145" s="313"/>
      <c r="M2145" s="313"/>
      <c r="N2145" s="313"/>
      <c r="O2145" s="314"/>
      <c r="P2145" s="415">
        <f>'[1]5.LO'!E285</f>
        <v>0</v>
      </c>
      <c r="Q2145" s="416"/>
      <c r="R2145" s="416"/>
      <c r="S2145" s="416"/>
      <c r="T2145" s="416"/>
      <c r="U2145" s="417"/>
      <c r="V2145" s="296"/>
    </row>
    <row r="2146" spans="1:22" s="16" customFormat="1" ht="22.5" customHeight="1" x14ac:dyDescent="0.25">
      <c r="A2146" s="14"/>
      <c r="B2146" s="23"/>
      <c r="C2146" s="23"/>
      <c r="D2146" s="315"/>
      <c r="E2146" s="308" t="s">
        <v>817</v>
      </c>
      <c r="F2146" s="313"/>
      <c r="G2146" s="313"/>
      <c r="H2146" s="313"/>
      <c r="I2146" s="313"/>
      <c r="J2146" s="313"/>
      <c r="K2146" s="313"/>
      <c r="L2146" s="313"/>
      <c r="M2146" s="313"/>
      <c r="N2146" s="313"/>
      <c r="O2146" s="314"/>
      <c r="P2146" s="415">
        <f>'[1]5.LO'!E286</f>
        <v>0</v>
      </c>
      <c r="Q2146" s="416"/>
      <c r="R2146" s="416"/>
      <c r="S2146" s="416"/>
      <c r="T2146" s="416"/>
      <c r="U2146" s="417"/>
      <c r="V2146" s="296"/>
    </row>
    <row r="2147" spans="1:22" s="16" customFormat="1" ht="22.5" customHeight="1" x14ac:dyDescent="0.25">
      <c r="A2147" s="14"/>
      <c r="B2147" s="23"/>
      <c r="C2147" s="23"/>
      <c r="D2147" s="315"/>
      <c r="E2147" s="308" t="s">
        <v>818</v>
      </c>
      <c r="F2147" s="313"/>
      <c r="G2147" s="313"/>
      <c r="H2147" s="313"/>
      <c r="I2147" s="313"/>
      <c r="J2147" s="313"/>
      <c r="K2147" s="313"/>
      <c r="L2147" s="313"/>
      <c r="M2147" s="313"/>
      <c r="N2147" s="313"/>
      <c r="O2147" s="314"/>
      <c r="P2147" s="415">
        <f>'[1]5.LO'!E287</f>
        <v>71250000</v>
      </c>
      <c r="Q2147" s="416"/>
      <c r="R2147" s="416"/>
      <c r="S2147" s="416"/>
      <c r="T2147" s="416"/>
      <c r="U2147" s="417"/>
      <c r="V2147" s="296"/>
    </row>
    <row r="2148" spans="1:22" s="16" customFormat="1" ht="22.5" customHeight="1" x14ac:dyDescent="0.25">
      <c r="A2148" s="14"/>
      <c r="B2148" s="23"/>
      <c r="C2148" s="23"/>
      <c r="D2148" s="315"/>
      <c r="E2148" s="308" t="s">
        <v>819</v>
      </c>
      <c r="F2148" s="313"/>
      <c r="G2148" s="313"/>
      <c r="H2148" s="313"/>
      <c r="I2148" s="313"/>
      <c r="J2148" s="313"/>
      <c r="K2148" s="313"/>
      <c r="L2148" s="313"/>
      <c r="M2148" s="313"/>
      <c r="N2148" s="313"/>
      <c r="O2148" s="314"/>
      <c r="P2148" s="415">
        <f>'[1]5.LO'!E288</f>
        <v>0</v>
      </c>
      <c r="Q2148" s="416"/>
      <c r="R2148" s="416"/>
      <c r="S2148" s="416"/>
      <c r="T2148" s="416"/>
      <c r="U2148" s="417"/>
      <c r="V2148" s="296"/>
    </row>
    <row r="2149" spans="1:22" s="16" customFormat="1" ht="14.25" customHeight="1" x14ac:dyDescent="0.25">
      <c r="A2149" s="14"/>
      <c r="B2149" s="23"/>
      <c r="C2149" s="23"/>
      <c r="D2149" s="315"/>
      <c r="E2149" s="308" t="s">
        <v>820</v>
      </c>
      <c r="F2149" s="313"/>
      <c r="G2149" s="313"/>
      <c r="H2149" s="313"/>
      <c r="I2149" s="313"/>
      <c r="J2149" s="313"/>
      <c r="K2149" s="313"/>
      <c r="L2149" s="313"/>
      <c r="M2149" s="313"/>
      <c r="N2149" s="313"/>
      <c r="O2149" s="314"/>
      <c r="P2149" s="415">
        <f>'[1]5.LO'!E289</f>
        <v>430644500</v>
      </c>
      <c r="Q2149" s="416"/>
      <c r="R2149" s="416"/>
      <c r="S2149" s="416"/>
      <c r="T2149" s="416"/>
      <c r="U2149" s="417"/>
      <c r="V2149" s="296"/>
    </row>
    <row r="2150" spans="1:22" s="16" customFormat="1" ht="14.25" customHeight="1" x14ac:dyDescent="0.25">
      <c r="A2150" s="14"/>
      <c r="B2150" s="23"/>
      <c r="C2150" s="23"/>
      <c r="D2150" s="315"/>
      <c r="E2150" s="308" t="s">
        <v>821</v>
      </c>
      <c r="F2150" s="313"/>
      <c r="G2150" s="313"/>
      <c r="H2150" s="313"/>
      <c r="I2150" s="313"/>
      <c r="J2150" s="313"/>
      <c r="K2150" s="313"/>
      <c r="L2150" s="313"/>
      <c r="M2150" s="313"/>
      <c r="N2150" s="313"/>
      <c r="O2150" s="314"/>
      <c r="P2150" s="415">
        <f>'[1]5.LO'!E290</f>
        <v>0</v>
      </c>
      <c r="Q2150" s="416"/>
      <c r="R2150" s="416"/>
      <c r="S2150" s="416"/>
      <c r="T2150" s="416"/>
      <c r="U2150" s="417"/>
      <c r="V2150" s="296"/>
    </row>
    <row r="2151" spans="1:22" s="16" customFormat="1" ht="22.5" customHeight="1" x14ac:dyDescent="0.25">
      <c r="A2151" s="14"/>
      <c r="B2151" s="23"/>
      <c r="C2151" s="23"/>
      <c r="D2151" s="315"/>
      <c r="E2151" s="308" t="s">
        <v>822</v>
      </c>
      <c r="F2151" s="313"/>
      <c r="G2151" s="313"/>
      <c r="H2151" s="313"/>
      <c r="I2151" s="313"/>
      <c r="J2151" s="313"/>
      <c r="K2151" s="313"/>
      <c r="L2151" s="313"/>
      <c r="M2151" s="313"/>
      <c r="N2151" s="313"/>
      <c r="O2151" s="314"/>
      <c r="P2151" s="415">
        <f>'[1]5.LO'!E291</f>
        <v>0</v>
      </c>
      <c r="Q2151" s="416"/>
      <c r="R2151" s="416"/>
      <c r="S2151" s="416"/>
      <c r="T2151" s="416"/>
      <c r="U2151" s="417"/>
      <c r="V2151" s="296"/>
    </row>
    <row r="2152" spans="1:22" s="16" customFormat="1" ht="14.25" customHeight="1" x14ac:dyDescent="0.25">
      <c r="A2152" s="14"/>
      <c r="B2152" s="23"/>
      <c r="C2152" s="23"/>
      <c r="D2152" s="315"/>
      <c r="E2152" s="308" t="s">
        <v>823</v>
      </c>
      <c r="F2152" s="313"/>
      <c r="G2152" s="313"/>
      <c r="H2152" s="313"/>
      <c r="I2152" s="313"/>
      <c r="J2152" s="313"/>
      <c r="K2152" s="313"/>
      <c r="L2152" s="313"/>
      <c r="M2152" s="313"/>
      <c r="N2152" s="313"/>
      <c r="O2152" s="314"/>
      <c r="P2152" s="415">
        <f>'[1]5.LO'!E292</f>
        <v>0</v>
      </c>
      <c r="Q2152" s="416"/>
      <c r="R2152" s="416"/>
      <c r="S2152" s="416"/>
      <c r="T2152" s="416"/>
      <c r="U2152" s="417"/>
      <c r="V2152" s="296"/>
    </row>
    <row r="2153" spans="1:22" s="16" customFormat="1" ht="14.25" customHeight="1" x14ac:dyDescent="0.25">
      <c r="A2153" s="14"/>
      <c r="B2153" s="23"/>
      <c r="C2153" s="23"/>
      <c r="D2153" s="291" t="s">
        <v>824</v>
      </c>
      <c r="E2153" s="306"/>
      <c r="F2153" s="313"/>
      <c r="G2153" s="313"/>
      <c r="H2153" s="313"/>
      <c r="I2153" s="313"/>
      <c r="J2153" s="313"/>
      <c r="K2153" s="313"/>
      <c r="L2153" s="313"/>
      <c r="M2153" s="313"/>
      <c r="N2153" s="313"/>
      <c r="O2153" s="314"/>
      <c r="P2153" s="449">
        <f>SUM(P2154:U2155)</f>
        <v>0</v>
      </c>
      <c r="Q2153" s="450"/>
      <c r="R2153" s="450"/>
      <c r="S2153" s="450"/>
      <c r="T2153" s="450"/>
      <c r="U2153" s="451"/>
      <c r="V2153" s="296"/>
    </row>
    <row r="2154" spans="1:22" s="16" customFormat="1" ht="22.5" customHeight="1" x14ac:dyDescent="0.25">
      <c r="A2154" s="14"/>
      <c r="B2154" s="23"/>
      <c r="C2154" s="23"/>
      <c r="D2154" s="315"/>
      <c r="E2154" s="308" t="s">
        <v>825</v>
      </c>
      <c r="F2154" s="313"/>
      <c r="G2154" s="313"/>
      <c r="H2154" s="313"/>
      <c r="I2154" s="313"/>
      <c r="J2154" s="313"/>
      <c r="K2154" s="313"/>
      <c r="L2154" s="313"/>
      <c r="M2154" s="313"/>
      <c r="N2154" s="313"/>
      <c r="O2154" s="314"/>
      <c r="P2154" s="415">
        <f>'[1]5.LO'!E294</f>
        <v>0</v>
      </c>
      <c r="Q2154" s="416"/>
      <c r="R2154" s="416"/>
      <c r="S2154" s="416"/>
      <c r="T2154" s="416"/>
      <c r="U2154" s="417"/>
      <c r="V2154" s="296"/>
    </row>
    <row r="2155" spans="1:22" s="16" customFormat="1" ht="14.25" customHeight="1" x14ac:dyDescent="0.25">
      <c r="A2155" s="14"/>
      <c r="B2155" s="23"/>
      <c r="C2155" s="23"/>
      <c r="D2155" s="315"/>
      <c r="E2155" s="308" t="s">
        <v>826</v>
      </c>
      <c r="F2155" s="313"/>
      <c r="G2155" s="313"/>
      <c r="H2155" s="313"/>
      <c r="I2155" s="313"/>
      <c r="J2155" s="313"/>
      <c r="K2155" s="313"/>
      <c r="L2155" s="313"/>
      <c r="M2155" s="313"/>
      <c r="N2155" s="313"/>
      <c r="O2155" s="314"/>
      <c r="P2155" s="415">
        <f>'[1]5.LO'!E295</f>
        <v>0</v>
      </c>
      <c r="Q2155" s="416"/>
      <c r="R2155" s="416"/>
      <c r="S2155" s="416"/>
      <c r="T2155" s="416"/>
      <c r="U2155" s="417"/>
      <c r="V2155" s="296"/>
    </row>
    <row r="2156" spans="1:22" s="16" customFormat="1" ht="14.25" customHeight="1" x14ac:dyDescent="0.25">
      <c r="A2156" s="14"/>
      <c r="B2156" s="23"/>
      <c r="C2156" s="23"/>
      <c r="D2156" s="291" t="s">
        <v>827</v>
      </c>
      <c r="E2156" s="306"/>
      <c r="F2156" s="313"/>
      <c r="G2156" s="313"/>
      <c r="H2156" s="313"/>
      <c r="I2156" s="313"/>
      <c r="J2156" s="313"/>
      <c r="K2156" s="313"/>
      <c r="L2156" s="313"/>
      <c r="M2156" s="313"/>
      <c r="N2156" s="313"/>
      <c r="O2156" s="314"/>
      <c r="P2156" s="449">
        <f>SUM(P2157:U2161)</f>
        <v>66300000</v>
      </c>
      <c r="Q2156" s="450"/>
      <c r="R2156" s="450"/>
      <c r="S2156" s="450"/>
      <c r="T2156" s="450"/>
      <c r="U2156" s="451"/>
      <c r="V2156" s="296"/>
    </row>
    <row r="2157" spans="1:22" s="16" customFormat="1" ht="14.25" customHeight="1" x14ac:dyDescent="0.25">
      <c r="A2157" s="14"/>
      <c r="B2157" s="23"/>
      <c r="C2157" s="23"/>
      <c r="D2157" s="315"/>
      <c r="E2157" s="308" t="s">
        <v>828</v>
      </c>
      <c r="F2157" s="313"/>
      <c r="G2157" s="313"/>
      <c r="H2157" s="313"/>
      <c r="I2157" s="313"/>
      <c r="J2157" s="313"/>
      <c r="K2157" s="313"/>
      <c r="L2157" s="313"/>
      <c r="M2157" s="313"/>
      <c r="N2157" s="313"/>
      <c r="O2157" s="314"/>
      <c r="P2157" s="415">
        <f>'[1]5.LO'!E297</f>
        <v>14500000</v>
      </c>
      <c r="Q2157" s="416"/>
      <c r="R2157" s="416"/>
      <c r="S2157" s="416"/>
      <c r="T2157" s="416"/>
      <c r="U2157" s="417"/>
      <c r="V2157" s="296"/>
    </row>
    <row r="2158" spans="1:22" s="16" customFormat="1" ht="14.25" customHeight="1" x14ac:dyDescent="0.25">
      <c r="A2158" s="14"/>
      <c r="B2158" s="23"/>
      <c r="C2158" s="23"/>
      <c r="D2158" s="315"/>
      <c r="E2158" s="308" t="s">
        <v>829</v>
      </c>
      <c r="F2158" s="313"/>
      <c r="G2158" s="313"/>
      <c r="H2158" s="313"/>
      <c r="I2158" s="313"/>
      <c r="J2158" s="313"/>
      <c r="K2158" s="313"/>
      <c r="L2158" s="313"/>
      <c r="M2158" s="313"/>
      <c r="N2158" s="313"/>
      <c r="O2158" s="314"/>
      <c r="P2158" s="415">
        <f>'[1]5.LO'!E298</f>
        <v>0</v>
      </c>
      <c r="Q2158" s="416"/>
      <c r="R2158" s="416"/>
      <c r="S2158" s="416"/>
      <c r="T2158" s="416"/>
      <c r="U2158" s="417"/>
      <c r="V2158" s="296"/>
    </row>
    <row r="2159" spans="1:22" s="16" customFormat="1" ht="14.25" customHeight="1" x14ac:dyDescent="0.25">
      <c r="A2159" s="14"/>
      <c r="B2159" s="23"/>
      <c r="C2159" s="23"/>
      <c r="D2159" s="315"/>
      <c r="E2159" s="308" t="s">
        <v>830</v>
      </c>
      <c r="F2159" s="313"/>
      <c r="G2159" s="313"/>
      <c r="H2159" s="313"/>
      <c r="I2159" s="313"/>
      <c r="J2159" s="313"/>
      <c r="K2159" s="313"/>
      <c r="L2159" s="313"/>
      <c r="M2159" s="313"/>
      <c r="N2159" s="313"/>
      <c r="O2159" s="314"/>
      <c r="P2159" s="415">
        <f>'[1]5.LO'!E299</f>
        <v>38700000</v>
      </c>
      <c r="Q2159" s="416"/>
      <c r="R2159" s="416"/>
      <c r="S2159" s="416"/>
      <c r="T2159" s="416"/>
      <c r="U2159" s="417"/>
      <c r="V2159" s="296"/>
    </row>
    <row r="2160" spans="1:22" s="16" customFormat="1" ht="14.25" customHeight="1" x14ac:dyDescent="0.25">
      <c r="A2160" s="14"/>
      <c r="B2160" s="23"/>
      <c r="C2160" s="23"/>
      <c r="D2160" s="315"/>
      <c r="E2160" s="308" t="s">
        <v>831</v>
      </c>
      <c r="F2160" s="313"/>
      <c r="G2160" s="313"/>
      <c r="H2160" s="313"/>
      <c r="I2160" s="313"/>
      <c r="J2160" s="313"/>
      <c r="K2160" s="313"/>
      <c r="L2160" s="313"/>
      <c r="M2160" s="313"/>
      <c r="N2160" s="313"/>
      <c r="O2160" s="314"/>
      <c r="P2160" s="415">
        <f>'[1]5.LO'!E300</f>
        <v>0</v>
      </c>
      <c r="Q2160" s="416"/>
      <c r="R2160" s="416"/>
      <c r="S2160" s="416"/>
      <c r="T2160" s="416"/>
      <c r="U2160" s="417"/>
      <c r="V2160" s="296"/>
    </row>
    <row r="2161" spans="1:22" s="16" customFormat="1" ht="14.25" customHeight="1" x14ac:dyDescent="0.25">
      <c r="A2161" s="14"/>
      <c r="B2161" s="23"/>
      <c r="C2161" s="23"/>
      <c r="D2161" s="315"/>
      <c r="E2161" s="308" t="s">
        <v>832</v>
      </c>
      <c r="F2161" s="313"/>
      <c r="G2161" s="313"/>
      <c r="H2161" s="313"/>
      <c r="I2161" s="313"/>
      <c r="J2161" s="313"/>
      <c r="K2161" s="313"/>
      <c r="L2161" s="313"/>
      <c r="M2161" s="313"/>
      <c r="N2161" s="313"/>
      <c r="O2161" s="314"/>
      <c r="P2161" s="415">
        <f>'[1]5.LO'!E301</f>
        <v>13100000</v>
      </c>
      <c r="Q2161" s="416"/>
      <c r="R2161" s="416"/>
      <c r="S2161" s="416"/>
      <c r="T2161" s="416"/>
      <c r="U2161" s="417"/>
      <c r="V2161" s="296"/>
    </row>
    <row r="2162" spans="1:22" s="16" customFormat="1" ht="14.25" customHeight="1" x14ac:dyDescent="0.25">
      <c r="A2162" s="14"/>
      <c r="B2162" s="23"/>
      <c r="C2162" s="23"/>
      <c r="D2162" s="291" t="s">
        <v>833</v>
      </c>
      <c r="E2162" s="306"/>
      <c r="F2162" s="313"/>
      <c r="G2162" s="313"/>
      <c r="H2162" s="313"/>
      <c r="I2162" s="313"/>
      <c r="J2162" s="313"/>
      <c r="K2162" s="313"/>
      <c r="L2162" s="313"/>
      <c r="M2162" s="313"/>
      <c r="N2162" s="313"/>
      <c r="O2162" s="314"/>
      <c r="P2162" s="449">
        <f>SUM(P2163:U2164)</f>
        <v>77150000</v>
      </c>
      <c r="Q2162" s="450"/>
      <c r="R2162" s="450"/>
      <c r="S2162" s="450"/>
      <c r="T2162" s="450"/>
      <c r="U2162" s="451"/>
      <c r="V2162" s="296"/>
    </row>
    <row r="2163" spans="1:22" s="16" customFormat="1" ht="14.25" customHeight="1" x14ac:dyDescent="0.25">
      <c r="A2163" s="14"/>
      <c r="B2163" s="23"/>
      <c r="C2163" s="23"/>
      <c r="D2163" s="315"/>
      <c r="E2163" s="308" t="s">
        <v>834</v>
      </c>
      <c r="F2163" s="313"/>
      <c r="G2163" s="313"/>
      <c r="H2163" s="313"/>
      <c r="I2163" s="313"/>
      <c r="J2163" s="313"/>
      <c r="K2163" s="313"/>
      <c r="L2163" s="313"/>
      <c r="M2163" s="313"/>
      <c r="N2163" s="313"/>
      <c r="O2163" s="314"/>
      <c r="P2163" s="415">
        <f>'[1]5.LO'!E303</f>
        <v>77150000</v>
      </c>
      <c r="Q2163" s="416"/>
      <c r="R2163" s="416"/>
      <c r="S2163" s="416"/>
      <c r="T2163" s="416"/>
      <c r="U2163" s="417"/>
      <c r="V2163" s="296"/>
    </row>
    <row r="2164" spans="1:22" s="16" customFormat="1" ht="14.25" customHeight="1" x14ac:dyDescent="0.25">
      <c r="A2164" s="14"/>
      <c r="B2164" s="23"/>
      <c r="C2164" s="23"/>
      <c r="D2164" s="315"/>
      <c r="E2164" s="308" t="s">
        <v>835</v>
      </c>
      <c r="F2164" s="313"/>
      <c r="G2164" s="313"/>
      <c r="H2164" s="313"/>
      <c r="I2164" s="313"/>
      <c r="J2164" s="313"/>
      <c r="K2164" s="313"/>
      <c r="L2164" s="313"/>
      <c r="M2164" s="313"/>
      <c r="N2164" s="313"/>
      <c r="O2164" s="314"/>
      <c r="P2164" s="415">
        <f>'[1]5.LO'!E304</f>
        <v>0</v>
      </c>
      <c r="Q2164" s="416"/>
      <c r="R2164" s="416"/>
      <c r="S2164" s="416"/>
      <c r="T2164" s="416"/>
      <c r="U2164" s="417"/>
      <c r="V2164" s="296"/>
    </row>
    <row r="2165" spans="1:22" s="16" customFormat="1" ht="14.25" customHeight="1" x14ac:dyDescent="0.25">
      <c r="A2165" s="14"/>
      <c r="B2165" s="23"/>
      <c r="C2165" s="23"/>
      <c r="D2165" s="291" t="s">
        <v>836</v>
      </c>
      <c r="E2165" s="306"/>
      <c r="F2165" s="313"/>
      <c r="G2165" s="313"/>
      <c r="H2165" s="313"/>
      <c r="I2165" s="313"/>
      <c r="J2165" s="313"/>
      <c r="K2165" s="313"/>
      <c r="L2165" s="313"/>
      <c r="M2165" s="313"/>
      <c r="N2165" s="313"/>
      <c r="O2165" s="314"/>
      <c r="P2165" s="449">
        <f>SUM(P2166:U2167)</f>
        <v>0</v>
      </c>
      <c r="Q2165" s="450"/>
      <c r="R2165" s="450"/>
      <c r="S2165" s="450"/>
      <c r="T2165" s="450"/>
      <c r="U2165" s="451"/>
      <c r="V2165" s="296"/>
    </row>
    <row r="2166" spans="1:22" s="16" customFormat="1" ht="14.25" customHeight="1" x14ac:dyDescent="0.25">
      <c r="A2166" s="14"/>
      <c r="B2166" s="23"/>
      <c r="C2166" s="23"/>
      <c r="D2166" s="315"/>
      <c r="E2166" s="308" t="s">
        <v>837</v>
      </c>
      <c r="F2166" s="313"/>
      <c r="G2166" s="313"/>
      <c r="H2166" s="313"/>
      <c r="I2166" s="313"/>
      <c r="J2166" s="313"/>
      <c r="K2166" s="313"/>
      <c r="L2166" s="313"/>
      <c r="M2166" s="313"/>
      <c r="N2166" s="313"/>
      <c r="O2166" s="314"/>
      <c r="P2166" s="415">
        <f>'[1]5.LO'!E306</f>
        <v>0</v>
      </c>
      <c r="Q2166" s="416"/>
      <c r="R2166" s="416"/>
      <c r="S2166" s="416"/>
      <c r="T2166" s="416"/>
      <c r="U2166" s="417"/>
      <c r="V2166" s="296"/>
    </row>
    <row r="2167" spans="1:22" s="16" customFormat="1" ht="14.25" customHeight="1" x14ac:dyDescent="0.25">
      <c r="A2167" s="14"/>
      <c r="B2167" s="23"/>
      <c r="C2167" s="23"/>
      <c r="D2167" s="315"/>
      <c r="E2167" s="308" t="s">
        <v>838</v>
      </c>
      <c r="F2167" s="313"/>
      <c r="G2167" s="313"/>
      <c r="H2167" s="313"/>
      <c r="I2167" s="313"/>
      <c r="J2167" s="313"/>
      <c r="K2167" s="313"/>
      <c r="L2167" s="313"/>
      <c r="M2167" s="313"/>
      <c r="N2167" s="313"/>
      <c r="O2167" s="314"/>
      <c r="P2167" s="415">
        <f>'[1]5.LO'!E307</f>
        <v>0</v>
      </c>
      <c r="Q2167" s="416"/>
      <c r="R2167" s="416"/>
      <c r="S2167" s="416"/>
      <c r="T2167" s="416"/>
      <c r="U2167" s="417"/>
      <c r="V2167" s="296"/>
    </row>
    <row r="2168" spans="1:22" s="16" customFormat="1" ht="14.25" customHeight="1" x14ac:dyDescent="0.25">
      <c r="A2168" s="14"/>
      <c r="B2168" s="23"/>
      <c r="C2168" s="23"/>
      <c r="D2168" s="291" t="s">
        <v>839</v>
      </c>
      <c r="E2168" s="306"/>
      <c r="F2168" s="313"/>
      <c r="G2168" s="313"/>
      <c r="H2168" s="313"/>
      <c r="I2168" s="313"/>
      <c r="J2168" s="313"/>
      <c r="K2168" s="313"/>
      <c r="L2168" s="313"/>
      <c r="M2168" s="313"/>
      <c r="N2168" s="313"/>
      <c r="O2168" s="314"/>
      <c r="P2168" s="449">
        <f>SUM(P2169:U2179)</f>
        <v>163970000</v>
      </c>
      <c r="Q2168" s="450"/>
      <c r="R2168" s="450"/>
      <c r="S2168" s="450"/>
      <c r="T2168" s="450"/>
      <c r="U2168" s="451"/>
      <c r="V2168" s="296"/>
    </row>
    <row r="2169" spans="1:22" s="16" customFormat="1" ht="14.25" customHeight="1" x14ac:dyDescent="0.25">
      <c r="A2169" s="14"/>
      <c r="B2169" s="23"/>
      <c r="C2169" s="23"/>
      <c r="D2169" s="315"/>
      <c r="E2169" s="308" t="s">
        <v>840</v>
      </c>
      <c r="F2169" s="313"/>
      <c r="G2169" s="313"/>
      <c r="H2169" s="313"/>
      <c r="I2169" s="313"/>
      <c r="J2169" s="313"/>
      <c r="K2169" s="313"/>
      <c r="L2169" s="313"/>
      <c r="M2169" s="313"/>
      <c r="N2169" s="313"/>
      <c r="O2169" s="314"/>
      <c r="P2169" s="415">
        <f>'[1]5.LO'!E309</f>
        <v>15570000</v>
      </c>
      <c r="Q2169" s="416"/>
      <c r="R2169" s="416"/>
      <c r="S2169" s="416"/>
      <c r="T2169" s="416"/>
      <c r="U2169" s="417"/>
      <c r="V2169" s="296"/>
    </row>
    <row r="2170" spans="1:22" s="16" customFormat="1" ht="14.25" customHeight="1" x14ac:dyDescent="0.25">
      <c r="A2170" s="14"/>
      <c r="B2170" s="23"/>
      <c r="C2170" s="23"/>
      <c r="D2170" s="315"/>
      <c r="E2170" s="308" t="s">
        <v>841</v>
      </c>
      <c r="F2170" s="313"/>
      <c r="G2170" s="313"/>
      <c r="H2170" s="313"/>
      <c r="I2170" s="313"/>
      <c r="J2170" s="313"/>
      <c r="K2170" s="313"/>
      <c r="L2170" s="313"/>
      <c r="M2170" s="313"/>
      <c r="N2170" s="313"/>
      <c r="O2170" s="314"/>
      <c r="P2170" s="415">
        <f>'[1]5.LO'!E310</f>
        <v>0</v>
      </c>
      <c r="Q2170" s="416"/>
      <c r="R2170" s="416"/>
      <c r="S2170" s="416"/>
      <c r="T2170" s="416"/>
      <c r="U2170" s="417"/>
      <c r="V2170" s="296"/>
    </row>
    <row r="2171" spans="1:22" s="16" customFormat="1" ht="14.25" customHeight="1" x14ac:dyDescent="0.25">
      <c r="A2171" s="14"/>
      <c r="B2171" s="23"/>
      <c r="C2171" s="23"/>
      <c r="D2171" s="315"/>
      <c r="E2171" s="308" t="s">
        <v>842</v>
      </c>
      <c r="F2171" s="313"/>
      <c r="G2171" s="313"/>
      <c r="H2171" s="313"/>
      <c r="I2171" s="313"/>
      <c r="J2171" s="313"/>
      <c r="K2171" s="313"/>
      <c r="L2171" s="313"/>
      <c r="M2171" s="313"/>
      <c r="N2171" s="313"/>
      <c r="O2171" s="314"/>
      <c r="P2171" s="415">
        <f>'[1]5.LO'!E311</f>
        <v>0</v>
      </c>
      <c r="Q2171" s="416"/>
      <c r="R2171" s="416"/>
      <c r="S2171" s="416"/>
      <c r="T2171" s="416"/>
      <c r="U2171" s="417"/>
      <c r="V2171" s="296"/>
    </row>
    <row r="2172" spans="1:22" s="16" customFormat="1" ht="14.25" customHeight="1" x14ac:dyDescent="0.25">
      <c r="A2172" s="14"/>
      <c r="B2172" s="23"/>
      <c r="C2172" s="23"/>
      <c r="D2172" s="315"/>
      <c r="E2172" s="308" t="s">
        <v>843</v>
      </c>
      <c r="F2172" s="313"/>
      <c r="G2172" s="313"/>
      <c r="H2172" s="313"/>
      <c r="I2172" s="313"/>
      <c r="J2172" s="313"/>
      <c r="K2172" s="313"/>
      <c r="L2172" s="313"/>
      <c r="M2172" s="313"/>
      <c r="N2172" s="313"/>
      <c r="O2172" s="314"/>
      <c r="P2172" s="415">
        <f>'[1]5.LO'!E312</f>
        <v>0</v>
      </c>
      <c r="Q2172" s="416"/>
      <c r="R2172" s="416"/>
      <c r="S2172" s="416"/>
      <c r="T2172" s="416"/>
      <c r="U2172" s="417"/>
      <c r="V2172" s="296"/>
    </row>
    <row r="2173" spans="1:22" s="16" customFormat="1" ht="14.25" customHeight="1" x14ac:dyDescent="0.25">
      <c r="A2173" s="14"/>
      <c r="B2173" s="23"/>
      <c r="C2173" s="23"/>
      <c r="D2173" s="315"/>
      <c r="E2173" s="308" t="s">
        <v>844</v>
      </c>
      <c r="F2173" s="313"/>
      <c r="G2173" s="313"/>
      <c r="H2173" s="313"/>
      <c r="I2173" s="313"/>
      <c r="J2173" s="313"/>
      <c r="K2173" s="313"/>
      <c r="L2173" s="313"/>
      <c r="M2173" s="313"/>
      <c r="N2173" s="313"/>
      <c r="O2173" s="314"/>
      <c r="P2173" s="415">
        <f>'[1]5.LO'!E313</f>
        <v>28150000</v>
      </c>
      <c r="Q2173" s="416"/>
      <c r="R2173" s="416"/>
      <c r="S2173" s="416"/>
      <c r="T2173" s="416"/>
      <c r="U2173" s="417"/>
      <c r="V2173" s="296"/>
    </row>
    <row r="2174" spans="1:22" s="16" customFormat="1" ht="14.25" customHeight="1" x14ac:dyDescent="0.25">
      <c r="A2174" s="14"/>
      <c r="B2174" s="23"/>
      <c r="C2174" s="23"/>
      <c r="D2174" s="315"/>
      <c r="E2174" s="308" t="s">
        <v>845</v>
      </c>
      <c r="F2174" s="313"/>
      <c r="G2174" s="313"/>
      <c r="H2174" s="313"/>
      <c r="I2174" s="313"/>
      <c r="J2174" s="313"/>
      <c r="K2174" s="313"/>
      <c r="L2174" s="313"/>
      <c r="M2174" s="313"/>
      <c r="N2174" s="313"/>
      <c r="O2174" s="314"/>
      <c r="P2174" s="415">
        <f>'[1]5.LO'!E314</f>
        <v>37200000</v>
      </c>
      <c r="Q2174" s="416"/>
      <c r="R2174" s="416"/>
      <c r="S2174" s="416"/>
      <c r="T2174" s="416"/>
      <c r="U2174" s="417"/>
      <c r="V2174" s="296"/>
    </row>
    <row r="2175" spans="1:22" s="16" customFormat="1" ht="14.25" customHeight="1" x14ac:dyDescent="0.25">
      <c r="A2175" s="14"/>
      <c r="B2175" s="23"/>
      <c r="C2175" s="23"/>
      <c r="D2175" s="315"/>
      <c r="E2175" s="308" t="s">
        <v>846</v>
      </c>
      <c r="F2175" s="313"/>
      <c r="G2175" s="313"/>
      <c r="H2175" s="313"/>
      <c r="I2175" s="313"/>
      <c r="J2175" s="313"/>
      <c r="K2175" s="313"/>
      <c r="L2175" s="313"/>
      <c r="M2175" s="313"/>
      <c r="N2175" s="313"/>
      <c r="O2175" s="314"/>
      <c r="P2175" s="415">
        <f>'[1]5.LO'!E315</f>
        <v>79050000</v>
      </c>
      <c r="Q2175" s="416"/>
      <c r="R2175" s="416"/>
      <c r="S2175" s="416"/>
      <c r="T2175" s="416"/>
      <c r="U2175" s="417"/>
      <c r="V2175" s="296"/>
    </row>
    <row r="2176" spans="1:22" s="16" customFormat="1" ht="14.25" customHeight="1" x14ac:dyDescent="0.25">
      <c r="A2176" s="14"/>
      <c r="B2176" s="23"/>
      <c r="C2176" s="23"/>
      <c r="D2176" s="315"/>
      <c r="E2176" s="308" t="s">
        <v>847</v>
      </c>
      <c r="F2176" s="313"/>
      <c r="G2176" s="313"/>
      <c r="H2176" s="313"/>
      <c r="I2176" s="313"/>
      <c r="J2176" s="313"/>
      <c r="K2176" s="313"/>
      <c r="L2176" s="313"/>
      <c r="M2176" s="313"/>
      <c r="N2176" s="313"/>
      <c r="O2176" s="314"/>
      <c r="P2176" s="415">
        <f>'[1]5.LO'!E316</f>
        <v>0</v>
      </c>
      <c r="Q2176" s="416"/>
      <c r="R2176" s="416"/>
      <c r="S2176" s="416"/>
      <c r="T2176" s="416"/>
      <c r="U2176" s="417"/>
      <c r="V2176" s="296"/>
    </row>
    <row r="2177" spans="1:22" s="16" customFormat="1" ht="14.25" customHeight="1" x14ac:dyDescent="0.25">
      <c r="A2177" s="14"/>
      <c r="B2177" s="23"/>
      <c r="C2177" s="23"/>
      <c r="D2177" s="315"/>
      <c r="E2177" s="308" t="s">
        <v>848</v>
      </c>
      <c r="F2177" s="313"/>
      <c r="G2177" s="313"/>
      <c r="H2177" s="313"/>
      <c r="I2177" s="313"/>
      <c r="J2177" s="313"/>
      <c r="K2177" s="313"/>
      <c r="L2177" s="313"/>
      <c r="M2177" s="313"/>
      <c r="N2177" s="313"/>
      <c r="O2177" s="314"/>
      <c r="P2177" s="415">
        <f>'[1]5.LO'!E317</f>
        <v>4000000</v>
      </c>
      <c r="Q2177" s="416"/>
      <c r="R2177" s="416"/>
      <c r="S2177" s="416"/>
      <c r="T2177" s="416"/>
      <c r="U2177" s="417"/>
      <c r="V2177" s="296"/>
    </row>
    <row r="2178" spans="1:22" s="16" customFormat="1" ht="22.5" customHeight="1" x14ac:dyDescent="0.25">
      <c r="A2178" s="14"/>
      <c r="B2178" s="23"/>
      <c r="C2178" s="23"/>
      <c r="D2178" s="315"/>
      <c r="E2178" s="308" t="s">
        <v>849</v>
      </c>
      <c r="F2178" s="313"/>
      <c r="G2178" s="313"/>
      <c r="H2178" s="313"/>
      <c r="I2178" s="313"/>
      <c r="J2178" s="313"/>
      <c r="K2178" s="313"/>
      <c r="L2178" s="313"/>
      <c r="M2178" s="313"/>
      <c r="N2178" s="313"/>
      <c r="O2178" s="314"/>
      <c r="P2178" s="415">
        <f>'[1]5.LO'!E318</f>
        <v>0</v>
      </c>
      <c r="Q2178" s="416"/>
      <c r="R2178" s="416"/>
      <c r="S2178" s="416"/>
      <c r="T2178" s="416"/>
      <c r="U2178" s="417"/>
      <c r="V2178" s="296"/>
    </row>
    <row r="2179" spans="1:22" s="16" customFormat="1" ht="14.25" customHeight="1" x14ac:dyDescent="0.25">
      <c r="A2179" s="14"/>
      <c r="B2179" s="23"/>
      <c r="C2179" s="23"/>
      <c r="D2179" s="315"/>
      <c r="E2179" s="308" t="s">
        <v>850</v>
      </c>
      <c r="F2179" s="313"/>
      <c r="G2179" s="313"/>
      <c r="H2179" s="313"/>
      <c r="I2179" s="313"/>
      <c r="J2179" s="313"/>
      <c r="K2179" s="313"/>
      <c r="L2179" s="313"/>
      <c r="M2179" s="313"/>
      <c r="N2179" s="313"/>
      <c r="O2179" s="314"/>
      <c r="P2179" s="415">
        <f>'[1]5.LO'!E319</f>
        <v>0</v>
      </c>
      <c r="Q2179" s="416"/>
      <c r="R2179" s="416"/>
      <c r="S2179" s="416"/>
      <c r="T2179" s="416"/>
      <c r="U2179" s="417"/>
      <c r="V2179" s="296"/>
    </row>
    <row r="2180" spans="1:22" s="16" customFormat="1" ht="14.25" customHeight="1" x14ac:dyDescent="0.25">
      <c r="A2180" s="14"/>
      <c r="B2180" s="23"/>
      <c r="C2180" s="23"/>
      <c r="D2180" s="291" t="s">
        <v>851</v>
      </c>
      <c r="E2180" s="306"/>
      <c r="F2180" s="313"/>
      <c r="G2180" s="313"/>
      <c r="H2180" s="313"/>
      <c r="I2180" s="313"/>
      <c r="J2180" s="313"/>
      <c r="K2180" s="313"/>
      <c r="L2180" s="313"/>
      <c r="M2180" s="313"/>
      <c r="N2180" s="313"/>
      <c r="O2180" s="314"/>
      <c r="P2180" s="449">
        <f>SUM(P2181:U2186)</f>
        <v>663648500</v>
      </c>
      <c r="Q2180" s="450"/>
      <c r="R2180" s="450"/>
      <c r="S2180" s="450"/>
      <c r="T2180" s="450"/>
      <c r="U2180" s="451"/>
      <c r="V2180" s="296"/>
    </row>
    <row r="2181" spans="1:22" s="16" customFormat="1" ht="14.25" customHeight="1" x14ac:dyDescent="0.25">
      <c r="A2181" s="14"/>
      <c r="B2181" s="23"/>
      <c r="C2181" s="23"/>
      <c r="D2181" s="315"/>
      <c r="E2181" s="308" t="s">
        <v>852</v>
      </c>
      <c r="F2181" s="313"/>
      <c r="G2181" s="313"/>
      <c r="H2181" s="313"/>
      <c r="I2181" s="313"/>
      <c r="J2181" s="313"/>
      <c r="K2181" s="313"/>
      <c r="L2181" s="313"/>
      <c r="M2181" s="313"/>
      <c r="N2181" s="313"/>
      <c r="O2181" s="314"/>
      <c r="P2181" s="415">
        <f>'[1]5.LO'!E321</f>
        <v>0</v>
      </c>
      <c r="Q2181" s="416"/>
      <c r="R2181" s="416"/>
      <c r="S2181" s="416"/>
      <c r="T2181" s="416"/>
      <c r="U2181" s="417"/>
      <c r="V2181" s="296"/>
    </row>
    <row r="2182" spans="1:22" s="16" customFormat="1" ht="14.25" customHeight="1" x14ac:dyDescent="0.25">
      <c r="A2182" s="14"/>
      <c r="B2182" s="23"/>
      <c r="C2182" s="23"/>
      <c r="D2182" s="315"/>
      <c r="E2182" s="308" t="s">
        <v>853</v>
      </c>
      <c r="F2182" s="313"/>
      <c r="G2182" s="313"/>
      <c r="H2182" s="313"/>
      <c r="I2182" s="313"/>
      <c r="J2182" s="313"/>
      <c r="K2182" s="313"/>
      <c r="L2182" s="313"/>
      <c r="M2182" s="313"/>
      <c r="N2182" s="313"/>
      <c r="O2182" s="314"/>
      <c r="P2182" s="415">
        <f>'[1]5.LO'!E322</f>
        <v>50487500</v>
      </c>
      <c r="Q2182" s="416"/>
      <c r="R2182" s="416"/>
      <c r="S2182" s="416"/>
      <c r="T2182" s="416"/>
      <c r="U2182" s="417"/>
      <c r="V2182" s="296"/>
    </row>
    <row r="2183" spans="1:22" s="16" customFormat="1" ht="14.25" customHeight="1" x14ac:dyDescent="0.25">
      <c r="A2183" s="14"/>
      <c r="B2183" s="23"/>
      <c r="C2183" s="23"/>
      <c r="D2183" s="315"/>
      <c r="E2183" s="308" t="s">
        <v>854</v>
      </c>
      <c r="F2183" s="313"/>
      <c r="G2183" s="313"/>
      <c r="H2183" s="313"/>
      <c r="I2183" s="313"/>
      <c r="J2183" s="313"/>
      <c r="K2183" s="313"/>
      <c r="L2183" s="313"/>
      <c r="M2183" s="313"/>
      <c r="N2183" s="313"/>
      <c r="O2183" s="314"/>
      <c r="P2183" s="415">
        <f>'[1]5.LO'!E323</f>
        <v>735000</v>
      </c>
      <c r="Q2183" s="416"/>
      <c r="R2183" s="416"/>
      <c r="S2183" s="416"/>
      <c r="T2183" s="416"/>
      <c r="U2183" s="417"/>
      <c r="V2183" s="296"/>
    </row>
    <row r="2184" spans="1:22" s="16" customFormat="1" ht="14.25" customHeight="1" x14ac:dyDescent="0.25">
      <c r="A2184" s="14"/>
      <c r="B2184" s="23"/>
      <c r="C2184" s="23"/>
      <c r="D2184" s="315"/>
      <c r="E2184" s="308" t="s">
        <v>855</v>
      </c>
      <c r="F2184" s="313"/>
      <c r="G2184" s="313"/>
      <c r="H2184" s="313"/>
      <c r="I2184" s="313"/>
      <c r="J2184" s="313"/>
      <c r="K2184" s="313"/>
      <c r="L2184" s="313"/>
      <c r="M2184" s="313"/>
      <c r="N2184" s="313"/>
      <c r="O2184" s="314"/>
      <c r="P2184" s="415">
        <f>'[1]5.LO'!E324</f>
        <v>0</v>
      </c>
      <c r="Q2184" s="416"/>
      <c r="R2184" s="416"/>
      <c r="S2184" s="416"/>
      <c r="T2184" s="416"/>
      <c r="U2184" s="417"/>
      <c r="V2184" s="296"/>
    </row>
    <row r="2185" spans="1:22" s="16" customFormat="1" ht="14.25" customHeight="1" x14ac:dyDescent="0.25">
      <c r="A2185" s="14"/>
      <c r="B2185" s="23"/>
      <c r="C2185" s="23"/>
      <c r="D2185" s="315"/>
      <c r="E2185" s="308" t="s">
        <v>856</v>
      </c>
      <c r="F2185" s="313"/>
      <c r="G2185" s="313"/>
      <c r="H2185" s="313"/>
      <c r="I2185" s="313"/>
      <c r="J2185" s="313"/>
      <c r="K2185" s="313"/>
      <c r="L2185" s="313"/>
      <c r="M2185" s="313"/>
      <c r="N2185" s="313"/>
      <c r="O2185" s="314"/>
      <c r="P2185" s="415">
        <f>'[1]5.LO'!E325</f>
        <v>611346000</v>
      </c>
      <c r="Q2185" s="416"/>
      <c r="R2185" s="416"/>
      <c r="S2185" s="416"/>
      <c r="T2185" s="416"/>
      <c r="U2185" s="417"/>
      <c r="V2185" s="296"/>
    </row>
    <row r="2186" spans="1:22" s="16" customFormat="1" ht="14.25" customHeight="1" x14ac:dyDescent="0.25">
      <c r="A2186" s="14"/>
      <c r="B2186" s="23"/>
      <c r="C2186" s="23"/>
      <c r="D2186" s="315"/>
      <c r="E2186" s="308" t="s">
        <v>857</v>
      </c>
      <c r="F2186" s="313"/>
      <c r="G2186" s="313"/>
      <c r="H2186" s="313"/>
      <c r="I2186" s="313"/>
      <c r="J2186" s="313"/>
      <c r="K2186" s="313"/>
      <c r="L2186" s="313"/>
      <c r="M2186" s="313"/>
      <c r="N2186" s="313"/>
      <c r="O2186" s="314"/>
      <c r="P2186" s="415">
        <f>'[1]5.LO'!E326</f>
        <v>1080000</v>
      </c>
      <c r="Q2186" s="416"/>
      <c r="R2186" s="416"/>
      <c r="S2186" s="416"/>
      <c r="T2186" s="416"/>
      <c r="U2186" s="417"/>
      <c r="V2186" s="296"/>
    </row>
    <row r="2187" spans="1:22" s="16" customFormat="1" ht="14.25" customHeight="1" x14ac:dyDescent="0.25">
      <c r="A2187" s="14"/>
      <c r="B2187" s="23"/>
      <c r="C2187" s="23"/>
      <c r="D2187" s="291" t="s">
        <v>858</v>
      </c>
      <c r="E2187" s="306"/>
      <c r="F2187" s="313"/>
      <c r="G2187" s="313"/>
      <c r="H2187" s="313"/>
      <c r="I2187" s="313"/>
      <c r="J2187" s="313"/>
      <c r="K2187" s="313"/>
      <c r="L2187" s="313"/>
      <c r="M2187" s="313"/>
      <c r="N2187" s="313"/>
      <c r="O2187" s="314"/>
      <c r="P2187" s="449">
        <f>SUM(P2188:U2193)</f>
        <v>0</v>
      </c>
      <c r="Q2187" s="450"/>
      <c r="R2187" s="450"/>
      <c r="S2187" s="450"/>
      <c r="T2187" s="450"/>
      <c r="U2187" s="451"/>
      <c r="V2187" s="296"/>
    </row>
    <row r="2188" spans="1:22" s="16" customFormat="1" ht="14.25" customHeight="1" x14ac:dyDescent="0.25">
      <c r="A2188" s="14"/>
      <c r="B2188" s="23"/>
      <c r="C2188" s="23"/>
      <c r="D2188" s="315"/>
      <c r="E2188" s="308" t="s">
        <v>859</v>
      </c>
      <c r="F2188" s="313"/>
      <c r="G2188" s="313"/>
      <c r="H2188" s="313"/>
      <c r="I2188" s="313"/>
      <c r="J2188" s="313"/>
      <c r="K2188" s="313"/>
      <c r="L2188" s="313"/>
      <c r="M2188" s="313"/>
      <c r="N2188" s="313"/>
      <c r="O2188" s="314"/>
      <c r="P2188" s="415">
        <f>'[1]5.LO'!E328</f>
        <v>0</v>
      </c>
      <c r="Q2188" s="416"/>
      <c r="R2188" s="416"/>
      <c r="S2188" s="416"/>
      <c r="T2188" s="416"/>
      <c r="U2188" s="417"/>
      <c r="V2188" s="296"/>
    </row>
    <row r="2189" spans="1:22" s="16" customFormat="1" ht="14.25" customHeight="1" x14ac:dyDescent="0.25">
      <c r="A2189" s="14"/>
      <c r="B2189" s="23"/>
      <c r="C2189" s="23"/>
      <c r="D2189" s="315"/>
      <c r="E2189" s="308" t="s">
        <v>860</v>
      </c>
      <c r="F2189" s="313"/>
      <c r="G2189" s="313"/>
      <c r="H2189" s="313"/>
      <c r="I2189" s="313"/>
      <c r="J2189" s="313"/>
      <c r="K2189" s="313"/>
      <c r="L2189" s="313"/>
      <c r="M2189" s="313"/>
      <c r="N2189" s="313"/>
      <c r="O2189" s="314"/>
      <c r="P2189" s="415">
        <f>'[1]5.LO'!E329</f>
        <v>0</v>
      </c>
      <c r="Q2189" s="416"/>
      <c r="R2189" s="416"/>
      <c r="S2189" s="416"/>
      <c r="T2189" s="416"/>
      <c r="U2189" s="417"/>
      <c r="V2189" s="296"/>
    </row>
    <row r="2190" spans="1:22" s="16" customFormat="1" ht="14.25" customHeight="1" x14ac:dyDescent="0.25">
      <c r="A2190" s="14"/>
      <c r="B2190" s="23"/>
      <c r="C2190" s="23"/>
      <c r="D2190" s="315"/>
      <c r="E2190" s="308" t="s">
        <v>861</v>
      </c>
      <c r="F2190" s="313"/>
      <c r="G2190" s="313"/>
      <c r="H2190" s="313"/>
      <c r="I2190" s="313"/>
      <c r="J2190" s="313"/>
      <c r="K2190" s="313"/>
      <c r="L2190" s="313"/>
      <c r="M2190" s="313"/>
      <c r="N2190" s="313"/>
      <c r="O2190" s="314"/>
      <c r="P2190" s="415">
        <f>'[1]5.LO'!E330</f>
        <v>0</v>
      </c>
      <c r="Q2190" s="416"/>
      <c r="R2190" s="416"/>
      <c r="S2190" s="416"/>
      <c r="T2190" s="416"/>
      <c r="U2190" s="417"/>
      <c r="V2190" s="296"/>
    </row>
    <row r="2191" spans="1:22" s="16" customFormat="1" ht="14.25" customHeight="1" x14ac:dyDescent="0.25">
      <c r="A2191" s="14"/>
      <c r="B2191" s="23"/>
      <c r="C2191" s="23"/>
      <c r="D2191" s="315"/>
      <c r="E2191" s="308" t="s">
        <v>862</v>
      </c>
      <c r="F2191" s="313"/>
      <c r="G2191" s="313"/>
      <c r="H2191" s="313"/>
      <c r="I2191" s="313"/>
      <c r="J2191" s="313"/>
      <c r="K2191" s="313"/>
      <c r="L2191" s="313"/>
      <c r="M2191" s="313"/>
      <c r="N2191" s="313"/>
      <c r="O2191" s="314"/>
      <c r="P2191" s="415">
        <f>'[1]5.LO'!E331</f>
        <v>0</v>
      </c>
      <c r="Q2191" s="416"/>
      <c r="R2191" s="416"/>
      <c r="S2191" s="416"/>
      <c r="T2191" s="416"/>
      <c r="U2191" s="417"/>
      <c r="V2191" s="296"/>
    </row>
    <row r="2192" spans="1:22" s="16" customFormat="1" ht="14.25" customHeight="1" x14ac:dyDescent="0.25">
      <c r="A2192" s="14"/>
      <c r="B2192" s="23"/>
      <c r="C2192" s="23"/>
      <c r="D2192" s="315"/>
      <c r="E2192" s="308" t="s">
        <v>863</v>
      </c>
      <c r="F2192" s="313"/>
      <c r="G2192" s="313"/>
      <c r="H2192" s="313"/>
      <c r="I2192" s="313"/>
      <c r="J2192" s="313"/>
      <c r="K2192" s="313"/>
      <c r="L2192" s="313"/>
      <c r="M2192" s="313"/>
      <c r="N2192" s="313"/>
      <c r="O2192" s="314"/>
      <c r="P2192" s="415">
        <f>'[1]5.LO'!E332</f>
        <v>0</v>
      </c>
      <c r="Q2192" s="416"/>
      <c r="R2192" s="416"/>
      <c r="S2192" s="416"/>
      <c r="T2192" s="416"/>
      <c r="U2192" s="417"/>
      <c r="V2192" s="296"/>
    </row>
    <row r="2193" spans="1:22" s="16" customFormat="1" ht="14.25" customHeight="1" x14ac:dyDescent="0.25">
      <c r="A2193" s="14"/>
      <c r="B2193" s="23"/>
      <c r="C2193" s="23"/>
      <c r="D2193" s="315"/>
      <c r="E2193" s="308" t="s">
        <v>864</v>
      </c>
      <c r="F2193" s="313"/>
      <c r="G2193" s="313"/>
      <c r="H2193" s="313"/>
      <c r="I2193" s="313"/>
      <c r="J2193" s="313"/>
      <c r="K2193" s="313"/>
      <c r="L2193" s="313"/>
      <c r="M2193" s="313"/>
      <c r="N2193" s="313"/>
      <c r="O2193" s="314"/>
      <c r="P2193" s="415">
        <f>'[1]5.LO'!E333</f>
        <v>0</v>
      </c>
      <c r="Q2193" s="416"/>
      <c r="R2193" s="416"/>
      <c r="S2193" s="416"/>
      <c r="T2193" s="416"/>
      <c r="U2193" s="417"/>
      <c r="V2193" s="296"/>
    </row>
    <row r="2194" spans="1:22" s="16" customFormat="1" ht="14.25" customHeight="1" x14ac:dyDescent="0.25">
      <c r="A2194" s="14"/>
      <c r="B2194" s="23"/>
      <c r="C2194" s="23"/>
      <c r="D2194" s="291" t="s">
        <v>865</v>
      </c>
      <c r="E2194" s="306"/>
      <c r="F2194" s="313"/>
      <c r="G2194" s="313"/>
      <c r="H2194" s="313"/>
      <c r="I2194" s="313"/>
      <c r="J2194" s="313"/>
      <c r="K2194" s="313"/>
      <c r="L2194" s="313"/>
      <c r="M2194" s="313"/>
      <c r="N2194" s="313"/>
      <c r="O2194" s="314"/>
      <c r="P2194" s="449">
        <f>P2195</f>
        <v>0</v>
      </c>
      <c r="Q2194" s="450"/>
      <c r="R2194" s="450"/>
      <c r="S2194" s="450"/>
      <c r="T2194" s="450"/>
      <c r="U2194" s="451"/>
      <c r="V2194" s="296"/>
    </row>
    <row r="2195" spans="1:22" s="16" customFormat="1" ht="14.25" customHeight="1" x14ac:dyDescent="0.25">
      <c r="A2195" s="14"/>
      <c r="B2195" s="23"/>
      <c r="C2195" s="23"/>
      <c r="D2195" s="315"/>
      <c r="E2195" s="308" t="s">
        <v>866</v>
      </c>
      <c r="F2195" s="313"/>
      <c r="G2195" s="313"/>
      <c r="H2195" s="313"/>
      <c r="I2195" s="313"/>
      <c r="J2195" s="313"/>
      <c r="K2195" s="313"/>
      <c r="L2195" s="313"/>
      <c r="M2195" s="313"/>
      <c r="N2195" s="313"/>
      <c r="O2195" s="314"/>
      <c r="P2195" s="415">
        <f>'[1]5.LO'!E335</f>
        <v>0</v>
      </c>
      <c r="Q2195" s="416"/>
      <c r="R2195" s="416"/>
      <c r="S2195" s="416"/>
      <c r="T2195" s="416"/>
      <c r="U2195" s="417"/>
      <c r="V2195" s="296"/>
    </row>
    <row r="2196" spans="1:22" s="16" customFormat="1" ht="14.25" customHeight="1" x14ac:dyDescent="0.25">
      <c r="A2196" s="14"/>
      <c r="B2196" s="23"/>
      <c r="C2196" s="23"/>
      <c r="D2196" s="291" t="s">
        <v>867</v>
      </c>
      <c r="E2196" s="306"/>
      <c r="F2196" s="313"/>
      <c r="G2196" s="313"/>
      <c r="H2196" s="313"/>
      <c r="I2196" s="313"/>
      <c r="J2196" s="313"/>
      <c r="K2196" s="313"/>
      <c r="L2196" s="313"/>
      <c r="M2196" s="313"/>
      <c r="N2196" s="313"/>
      <c r="O2196" s="314"/>
      <c r="P2196" s="449">
        <f>SUM(P2197:U2203)</f>
        <v>41975000</v>
      </c>
      <c r="Q2196" s="450"/>
      <c r="R2196" s="450"/>
      <c r="S2196" s="450"/>
      <c r="T2196" s="450"/>
      <c r="U2196" s="451"/>
      <c r="V2196" s="296"/>
    </row>
    <row r="2197" spans="1:22" s="16" customFormat="1" ht="14.25" customHeight="1" x14ac:dyDescent="0.25">
      <c r="A2197" s="14"/>
      <c r="B2197" s="23"/>
      <c r="C2197" s="23"/>
      <c r="D2197" s="315"/>
      <c r="E2197" s="308" t="s">
        <v>868</v>
      </c>
      <c r="F2197" s="313"/>
      <c r="G2197" s="313"/>
      <c r="H2197" s="313"/>
      <c r="I2197" s="313"/>
      <c r="J2197" s="313"/>
      <c r="K2197" s="313"/>
      <c r="L2197" s="313"/>
      <c r="M2197" s="313"/>
      <c r="N2197" s="313"/>
      <c r="O2197" s="314"/>
      <c r="P2197" s="415">
        <f>'[1]5.LO'!E337</f>
        <v>0</v>
      </c>
      <c r="Q2197" s="416"/>
      <c r="R2197" s="416"/>
      <c r="S2197" s="416"/>
      <c r="T2197" s="416"/>
      <c r="U2197" s="417"/>
      <c r="V2197" s="296"/>
    </row>
    <row r="2198" spans="1:22" s="16" customFormat="1" ht="14.25" customHeight="1" x14ac:dyDescent="0.25">
      <c r="A2198" s="14"/>
      <c r="B2198" s="23"/>
      <c r="C2198" s="23"/>
      <c r="D2198" s="315"/>
      <c r="E2198" s="308" t="s">
        <v>869</v>
      </c>
      <c r="F2198" s="313"/>
      <c r="G2198" s="313"/>
      <c r="H2198" s="313"/>
      <c r="I2198" s="313"/>
      <c r="J2198" s="313"/>
      <c r="K2198" s="313"/>
      <c r="L2198" s="313"/>
      <c r="M2198" s="313"/>
      <c r="N2198" s="313"/>
      <c r="O2198" s="314"/>
      <c r="P2198" s="415">
        <f>'[1]5.LO'!E338</f>
        <v>6750000</v>
      </c>
      <c r="Q2198" s="416"/>
      <c r="R2198" s="416"/>
      <c r="S2198" s="416"/>
      <c r="T2198" s="416"/>
      <c r="U2198" s="417"/>
      <c r="V2198" s="296"/>
    </row>
    <row r="2199" spans="1:22" s="16" customFormat="1" ht="14.25" customHeight="1" x14ac:dyDescent="0.25">
      <c r="A2199" s="14"/>
      <c r="B2199" s="23"/>
      <c r="C2199" s="23"/>
      <c r="D2199" s="315"/>
      <c r="E2199" s="308" t="s">
        <v>870</v>
      </c>
      <c r="F2199" s="313"/>
      <c r="G2199" s="313"/>
      <c r="H2199" s="313"/>
      <c r="I2199" s="313"/>
      <c r="J2199" s="313"/>
      <c r="K2199" s="313"/>
      <c r="L2199" s="313"/>
      <c r="M2199" s="313"/>
      <c r="N2199" s="313"/>
      <c r="O2199" s="314"/>
      <c r="P2199" s="415">
        <f>'[1]5.LO'!E339</f>
        <v>35225000</v>
      </c>
      <c r="Q2199" s="416"/>
      <c r="R2199" s="416"/>
      <c r="S2199" s="416"/>
      <c r="T2199" s="416"/>
      <c r="U2199" s="417"/>
      <c r="V2199" s="296"/>
    </row>
    <row r="2200" spans="1:22" s="16" customFormat="1" ht="14.25" customHeight="1" x14ac:dyDescent="0.25">
      <c r="A2200" s="14"/>
      <c r="B2200" s="23"/>
      <c r="C2200" s="23"/>
      <c r="D2200" s="315"/>
      <c r="E2200" s="308" t="s">
        <v>871</v>
      </c>
      <c r="F2200" s="313"/>
      <c r="G2200" s="313"/>
      <c r="H2200" s="313"/>
      <c r="I2200" s="313"/>
      <c r="J2200" s="313"/>
      <c r="K2200" s="313"/>
      <c r="L2200" s="313"/>
      <c r="M2200" s="313"/>
      <c r="N2200" s="313"/>
      <c r="O2200" s="314"/>
      <c r="P2200" s="415">
        <f>'[1]5.LO'!E340</f>
        <v>0</v>
      </c>
      <c r="Q2200" s="416"/>
      <c r="R2200" s="416"/>
      <c r="S2200" s="416"/>
      <c r="T2200" s="416"/>
      <c r="U2200" s="417"/>
      <c r="V2200" s="296"/>
    </row>
    <row r="2201" spans="1:22" s="16" customFormat="1" ht="14.25" customHeight="1" x14ac:dyDescent="0.25">
      <c r="A2201" s="14"/>
      <c r="B2201" s="23"/>
      <c r="C2201" s="23"/>
      <c r="D2201" s="315"/>
      <c r="E2201" s="308" t="s">
        <v>872</v>
      </c>
      <c r="F2201" s="313"/>
      <c r="G2201" s="313"/>
      <c r="H2201" s="313"/>
      <c r="I2201" s="313"/>
      <c r="J2201" s="313"/>
      <c r="K2201" s="313"/>
      <c r="L2201" s="313"/>
      <c r="M2201" s="313"/>
      <c r="N2201" s="313"/>
      <c r="O2201" s="314"/>
      <c r="P2201" s="415">
        <f>'[1]5.LO'!E341</f>
        <v>0</v>
      </c>
      <c r="Q2201" s="416"/>
      <c r="R2201" s="416"/>
      <c r="S2201" s="416"/>
      <c r="T2201" s="416"/>
      <c r="U2201" s="417"/>
      <c r="V2201" s="296"/>
    </row>
    <row r="2202" spans="1:22" s="16" customFormat="1" ht="14.25" customHeight="1" x14ac:dyDescent="0.25">
      <c r="A2202" s="14"/>
      <c r="B2202" s="23"/>
      <c r="C2202" s="23"/>
      <c r="D2202" s="315"/>
      <c r="E2202" s="308" t="s">
        <v>873</v>
      </c>
      <c r="F2202" s="313"/>
      <c r="G2202" s="313"/>
      <c r="H2202" s="313"/>
      <c r="I2202" s="313"/>
      <c r="J2202" s="313"/>
      <c r="K2202" s="313"/>
      <c r="L2202" s="313"/>
      <c r="M2202" s="313"/>
      <c r="N2202" s="313"/>
      <c r="O2202" s="314"/>
      <c r="P2202" s="415">
        <f>'[1]5.LO'!E342</f>
        <v>0</v>
      </c>
      <c r="Q2202" s="416"/>
      <c r="R2202" s="416"/>
      <c r="S2202" s="416"/>
      <c r="T2202" s="416"/>
      <c r="U2202" s="417"/>
      <c r="V2202" s="296"/>
    </row>
    <row r="2203" spans="1:22" s="16" customFormat="1" ht="14.25" customHeight="1" x14ac:dyDescent="0.25">
      <c r="A2203" s="14"/>
      <c r="B2203" s="23"/>
      <c r="C2203" s="23"/>
      <c r="D2203" s="315"/>
      <c r="E2203" s="308" t="s">
        <v>874</v>
      </c>
      <c r="F2203" s="313"/>
      <c r="G2203" s="313"/>
      <c r="H2203" s="313"/>
      <c r="I2203" s="313"/>
      <c r="J2203" s="313"/>
      <c r="K2203" s="313"/>
      <c r="L2203" s="313"/>
      <c r="M2203" s="313"/>
      <c r="N2203" s="313"/>
      <c r="O2203" s="314"/>
      <c r="P2203" s="415">
        <f>'[1]5.LO'!E343</f>
        <v>0</v>
      </c>
      <c r="Q2203" s="416"/>
      <c r="R2203" s="416"/>
      <c r="S2203" s="416"/>
      <c r="T2203" s="416"/>
      <c r="U2203" s="417"/>
      <c r="V2203" s="296"/>
    </row>
    <row r="2204" spans="1:22" s="16" customFormat="1" ht="14.25" customHeight="1" x14ac:dyDescent="0.25">
      <c r="A2204" s="14"/>
      <c r="B2204" s="23"/>
      <c r="C2204" s="23"/>
      <c r="D2204" s="291" t="s">
        <v>875</v>
      </c>
      <c r="E2204" s="306"/>
      <c r="F2204" s="313"/>
      <c r="G2204" s="313"/>
      <c r="H2204" s="313"/>
      <c r="I2204" s="313"/>
      <c r="J2204" s="313"/>
      <c r="K2204" s="313"/>
      <c r="L2204" s="313"/>
      <c r="M2204" s="313"/>
      <c r="N2204" s="313"/>
      <c r="O2204" s="314"/>
      <c r="P2204" s="449">
        <f>P2205</f>
        <v>0</v>
      </c>
      <c r="Q2204" s="450"/>
      <c r="R2204" s="450"/>
      <c r="S2204" s="450"/>
      <c r="T2204" s="450"/>
      <c r="U2204" s="451"/>
      <c r="V2204" s="296"/>
    </row>
    <row r="2205" spans="1:22" s="16" customFormat="1" ht="14.25" customHeight="1" x14ac:dyDescent="0.25">
      <c r="A2205" s="14"/>
      <c r="B2205" s="23"/>
      <c r="C2205" s="23"/>
      <c r="D2205" s="315"/>
      <c r="E2205" s="308" t="s">
        <v>876</v>
      </c>
      <c r="F2205" s="313"/>
      <c r="G2205" s="313"/>
      <c r="H2205" s="313"/>
      <c r="I2205" s="313"/>
      <c r="J2205" s="313"/>
      <c r="K2205" s="313"/>
      <c r="L2205" s="313"/>
      <c r="M2205" s="313"/>
      <c r="N2205" s="313"/>
      <c r="O2205" s="314"/>
      <c r="P2205" s="415">
        <f>'[1]5.LO'!E345</f>
        <v>0</v>
      </c>
      <c r="Q2205" s="416"/>
      <c r="R2205" s="416"/>
      <c r="S2205" s="416"/>
      <c r="T2205" s="416"/>
      <c r="U2205" s="417"/>
      <c r="V2205" s="296"/>
    </row>
    <row r="2206" spans="1:22" s="16" customFormat="1" ht="22.5" customHeight="1" x14ac:dyDescent="0.25">
      <c r="A2206" s="14"/>
      <c r="B2206" s="23"/>
      <c r="C2206" s="23"/>
      <c r="D2206" s="291" t="s">
        <v>877</v>
      </c>
      <c r="E2206" s="306"/>
      <c r="F2206" s="313"/>
      <c r="G2206" s="313"/>
      <c r="H2206" s="313"/>
      <c r="I2206" s="313"/>
      <c r="J2206" s="313"/>
      <c r="K2206" s="313"/>
      <c r="L2206" s="313"/>
      <c r="M2206" s="313"/>
      <c r="N2206" s="313"/>
      <c r="O2206" s="314"/>
      <c r="P2206" s="449">
        <f>SUM(P2207:U2208)</f>
        <v>0</v>
      </c>
      <c r="Q2206" s="450"/>
      <c r="R2206" s="450"/>
      <c r="S2206" s="450"/>
      <c r="T2206" s="450"/>
      <c r="U2206" s="451"/>
      <c r="V2206" s="296"/>
    </row>
    <row r="2207" spans="1:22" s="16" customFormat="1" ht="14.25" customHeight="1" x14ac:dyDescent="0.25">
      <c r="A2207" s="14"/>
      <c r="B2207" s="23"/>
      <c r="C2207" s="23"/>
      <c r="D2207" s="315"/>
      <c r="E2207" s="308" t="s">
        <v>878</v>
      </c>
      <c r="F2207" s="313"/>
      <c r="G2207" s="313"/>
      <c r="H2207" s="313"/>
      <c r="I2207" s="313"/>
      <c r="J2207" s="313"/>
      <c r="K2207" s="313"/>
      <c r="L2207" s="313"/>
      <c r="M2207" s="313"/>
      <c r="N2207" s="313"/>
      <c r="O2207" s="314"/>
      <c r="P2207" s="415">
        <f>'[1]5.LO'!E347</f>
        <v>0</v>
      </c>
      <c r="Q2207" s="416"/>
      <c r="R2207" s="416"/>
      <c r="S2207" s="416"/>
      <c r="T2207" s="416"/>
      <c r="U2207" s="417"/>
      <c r="V2207" s="296"/>
    </row>
    <row r="2208" spans="1:22" s="16" customFormat="1" ht="14.25" customHeight="1" x14ac:dyDescent="0.25">
      <c r="A2208" s="14"/>
      <c r="B2208" s="23"/>
      <c r="C2208" s="23"/>
      <c r="D2208" s="315"/>
      <c r="E2208" s="308" t="s">
        <v>879</v>
      </c>
      <c r="F2208" s="313"/>
      <c r="G2208" s="313"/>
      <c r="H2208" s="313"/>
      <c r="I2208" s="313"/>
      <c r="J2208" s="313"/>
      <c r="K2208" s="313"/>
      <c r="L2208" s="313"/>
      <c r="M2208" s="313"/>
      <c r="N2208" s="313"/>
      <c r="O2208" s="314"/>
      <c r="P2208" s="415">
        <f>'[1]5.LO'!E348</f>
        <v>0</v>
      </c>
      <c r="Q2208" s="416"/>
      <c r="R2208" s="416"/>
      <c r="S2208" s="416"/>
      <c r="T2208" s="416"/>
      <c r="U2208" s="417"/>
      <c r="V2208" s="296"/>
    </row>
    <row r="2209" spans="1:22" s="16" customFormat="1" ht="14.25" customHeight="1" x14ac:dyDescent="0.25">
      <c r="A2209" s="14"/>
      <c r="B2209" s="23"/>
      <c r="C2209" s="23"/>
      <c r="D2209" s="291" t="s">
        <v>880</v>
      </c>
      <c r="E2209" s="306"/>
      <c r="F2209" s="313"/>
      <c r="G2209" s="313"/>
      <c r="H2209" s="313"/>
      <c r="I2209" s="313"/>
      <c r="J2209" s="313"/>
      <c r="K2209" s="313"/>
      <c r="L2209" s="313"/>
      <c r="M2209" s="313"/>
      <c r="N2209" s="313"/>
      <c r="O2209" s="314"/>
      <c r="P2209" s="449">
        <f>P2210</f>
        <v>0</v>
      </c>
      <c r="Q2209" s="450"/>
      <c r="R2209" s="450"/>
      <c r="S2209" s="450"/>
      <c r="T2209" s="450"/>
      <c r="U2209" s="451"/>
      <c r="V2209" s="296"/>
    </row>
    <row r="2210" spans="1:22" s="16" customFormat="1" ht="14.25" customHeight="1" x14ac:dyDescent="0.25">
      <c r="A2210" s="14"/>
      <c r="B2210" s="23"/>
      <c r="C2210" s="23"/>
      <c r="D2210" s="315"/>
      <c r="E2210" s="308" t="s">
        <v>881</v>
      </c>
      <c r="F2210" s="313"/>
      <c r="G2210" s="313"/>
      <c r="H2210" s="313"/>
      <c r="I2210" s="313"/>
      <c r="J2210" s="313"/>
      <c r="K2210" s="313"/>
      <c r="L2210" s="313"/>
      <c r="M2210" s="313"/>
      <c r="N2210" s="313"/>
      <c r="O2210" s="314"/>
      <c r="P2210" s="415">
        <f>'[1]5.LO'!E350</f>
        <v>0</v>
      </c>
      <c r="Q2210" s="416"/>
      <c r="R2210" s="416"/>
      <c r="S2210" s="416"/>
      <c r="T2210" s="416"/>
      <c r="U2210" s="417"/>
      <c r="V2210" s="296"/>
    </row>
    <row r="2211" spans="1:22" s="16" customFormat="1" ht="14.25" customHeight="1" x14ac:dyDescent="0.25">
      <c r="A2211" s="14"/>
      <c r="B2211" s="23"/>
      <c r="C2211" s="23"/>
      <c r="D2211" s="291" t="s">
        <v>882</v>
      </c>
      <c r="E2211" s="306"/>
      <c r="F2211" s="313"/>
      <c r="G2211" s="313"/>
      <c r="H2211" s="313"/>
      <c r="I2211" s="313"/>
      <c r="J2211" s="313"/>
      <c r="K2211" s="313"/>
      <c r="L2211" s="313"/>
      <c r="M2211" s="313"/>
      <c r="N2211" s="313"/>
      <c r="O2211" s="314"/>
      <c r="P2211" s="449">
        <f>P2212</f>
        <v>0</v>
      </c>
      <c r="Q2211" s="450"/>
      <c r="R2211" s="450"/>
      <c r="S2211" s="450"/>
      <c r="T2211" s="450"/>
      <c r="U2211" s="451"/>
      <c r="V2211" s="296"/>
    </row>
    <row r="2212" spans="1:22" s="16" customFormat="1" ht="14.25" customHeight="1" x14ac:dyDescent="0.25">
      <c r="A2212" s="14"/>
      <c r="B2212" s="23"/>
      <c r="C2212" s="23"/>
      <c r="D2212" s="315"/>
      <c r="E2212" s="308" t="s">
        <v>883</v>
      </c>
      <c r="F2212" s="313"/>
      <c r="G2212" s="313"/>
      <c r="H2212" s="313"/>
      <c r="I2212" s="313"/>
      <c r="J2212" s="313"/>
      <c r="K2212" s="313"/>
      <c r="L2212" s="313"/>
      <c r="M2212" s="313"/>
      <c r="N2212" s="313"/>
      <c r="O2212" s="314"/>
      <c r="P2212" s="415">
        <f>'[1]5.LO'!E352</f>
        <v>0</v>
      </c>
      <c r="Q2212" s="416"/>
      <c r="R2212" s="416"/>
      <c r="S2212" s="416"/>
      <c r="T2212" s="416"/>
      <c r="U2212" s="417"/>
      <c r="V2212" s="296"/>
    </row>
    <row r="2213" spans="1:22" s="16" customFormat="1" ht="14.25" customHeight="1" x14ac:dyDescent="0.25">
      <c r="A2213" s="14"/>
      <c r="B2213" s="23"/>
      <c r="C2213" s="23"/>
      <c r="D2213" s="291" t="s">
        <v>743</v>
      </c>
      <c r="E2213" s="306"/>
      <c r="F2213" s="313"/>
      <c r="G2213" s="313"/>
      <c r="H2213" s="313"/>
      <c r="I2213" s="313"/>
      <c r="J2213" s="313"/>
      <c r="K2213" s="313"/>
      <c r="L2213" s="313"/>
      <c r="M2213" s="313"/>
      <c r="N2213" s="313"/>
      <c r="O2213" s="314"/>
      <c r="P2213" s="449">
        <f>SUM(P2214:U2217)</f>
        <v>0</v>
      </c>
      <c r="Q2213" s="450"/>
      <c r="R2213" s="450"/>
      <c r="S2213" s="450"/>
      <c r="T2213" s="450"/>
      <c r="U2213" s="451"/>
      <c r="V2213" s="296"/>
    </row>
    <row r="2214" spans="1:22" s="16" customFormat="1" ht="14.25" customHeight="1" x14ac:dyDescent="0.25">
      <c r="A2214" s="14"/>
      <c r="B2214" s="23"/>
      <c r="C2214" s="23"/>
      <c r="D2214" s="315"/>
      <c r="E2214" s="308" t="s">
        <v>744</v>
      </c>
      <c r="F2214" s="313"/>
      <c r="G2214" s="313"/>
      <c r="H2214" s="313"/>
      <c r="I2214" s="313"/>
      <c r="J2214" s="313"/>
      <c r="K2214" s="313"/>
      <c r="L2214" s="313"/>
      <c r="M2214" s="313"/>
      <c r="N2214" s="313"/>
      <c r="O2214" s="314"/>
      <c r="P2214" s="415">
        <f>'[1]5.LO'!E354</f>
        <v>0</v>
      </c>
      <c r="Q2214" s="416"/>
      <c r="R2214" s="416"/>
      <c r="S2214" s="416"/>
      <c r="T2214" s="416"/>
      <c r="U2214" s="417"/>
      <c r="V2214" s="296"/>
    </row>
    <row r="2215" spans="1:22" s="16" customFormat="1" ht="14.25" customHeight="1" x14ac:dyDescent="0.25">
      <c r="A2215" s="14"/>
      <c r="B2215" s="23"/>
      <c r="C2215" s="23"/>
      <c r="D2215" s="315"/>
      <c r="E2215" s="308" t="s">
        <v>745</v>
      </c>
      <c r="F2215" s="313"/>
      <c r="G2215" s="313"/>
      <c r="H2215" s="313"/>
      <c r="I2215" s="313"/>
      <c r="J2215" s="313"/>
      <c r="K2215" s="313"/>
      <c r="L2215" s="313"/>
      <c r="M2215" s="313"/>
      <c r="N2215" s="313"/>
      <c r="O2215" s="314"/>
      <c r="P2215" s="415">
        <f>'[1]5.LO'!E355</f>
        <v>0</v>
      </c>
      <c r="Q2215" s="416"/>
      <c r="R2215" s="416"/>
      <c r="S2215" s="416"/>
      <c r="T2215" s="416"/>
      <c r="U2215" s="417"/>
      <c r="V2215" s="296"/>
    </row>
    <row r="2216" spans="1:22" s="16" customFormat="1" ht="14.25" customHeight="1" x14ac:dyDescent="0.25">
      <c r="A2216" s="14"/>
      <c r="B2216" s="23"/>
      <c r="C2216" s="23"/>
      <c r="D2216" s="315"/>
      <c r="E2216" s="308" t="s">
        <v>746</v>
      </c>
      <c r="F2216" s="313"/>
      <c r="G2216" s="313"/>
      <c r="H2216" s="313"/>
      <c r="I2216" s="313"/>
      <c r="J2216" s="313"/>
      <c r="K2216" s="313"/>
      <c r="L2216" s="313"/>
      <c r="M2216" s="313"/>
      <c r="N2216" s="313"/>
      <c r="O2216" s="314"/>
      <c r="P2216" s="415">
        <f>'[1]5.LO'!E356</f>
        <v>0</v>
      </c>
      <c r="Q2216" s="416"/>
      <c r="R2216" s="416"/>
      <c r="S2216" s="416"/>
      <c r="T2216" s="416"/>
      <c r="U2216" s="417"/>
      <c r="V2216" s="296"/>
    </row>
    <row r="2217" spans="1:22" s="16" customFormat="1" ht="14.25" customHeight="1" x14ac:dyDescent="0.25">
      <c r="A2217" s="14"/>
      <c r="B2217" s="23"/>
      <c r="C2217" s="23"/>
      <c r="D2217" s="315"/>
      <c r="E2217" s="308" t="s">
        <v>747</v>
      </c>
      <c r="F2217" s="313"/>
      <c r="G2217" s="313"/>
      <c r="H2217" s="313"/>
      <c r="I2217" s="313"/>
      <c r="J2217" s="313"/>
      <c r="K2217" s="313"/>
      <c r="L2217" s="313"/>
      <c r="M2217" s="313"/>
      <c r="N2217" s="313"/>
      <c r="O2217" s="314"/>
      <c r="P2217" s="415">
        <f>'[1]5.LO'!E357</f>
        <v>0</v>
      </c>
      <c r="Q2217" s="416"/>
      <c r="R2217" s="416"/>
      <c r="S2217" s="416"/>
      <c r="T2217" s="416"/>
      <c r="U2217" s="417"/>
      <c r="V2217" s="296"/>
    </row>
    <row r="2218" spans="1:22" s="16" customFormat="1" ht="14.25" customHeight="1" x14ac:dyDescent="0.25">
      <c r="A2218" s="14"/>
      <c r="B2218" s="23"/>
      <c r="C2218" s="23"/>
      <c r="D2218" s="291" t="s">
        <v>884</v>
      </c>
      <c r="E2218" s="306"/>
      <c r="F2218" s="313"/>
      <c r="G2218" s="313"/>
      <c r="H2218" s="313"/>
      <c r="I2218" s="313"/>
      <c r="J2218" s="313"/>
      <c r="K2218" s="313"/>
      <c r="L2218" s="313"/>
      <c r="M2218" s="313"/>
      <c r="N2218" s="313"/>
      <c r="O2218" s="314"/>
      <c r="P2218" s="449">
        <f>SUM(P2219:U2220)</f>
        <v>0</v>
      </c>
      <c r="Q2218" s="450"/>
      <c r="R2218" s="450"/>
      <c r="S2218" s="450"/>
      <c r="T2218" s="450"/>
      <c r="U2218" s="451"/>
      <c r="V2218" s="296"/>
    </row>
    <row r="2219" spans="1:22" s="16" customFormat="1" ht="14.25" customHeight="1" x14ac:dyDescent="0.25">
      <c r="A2219" s="14"/>
      <c r="B2219" s="23"/>
      <c r="C2219" s="23"/>
      <c r="D2219" s="315"/>
      <c r="E2219" s="308" t="s">
        <v>885</v>
      </c>
      <c r="F2219" s="313"/>
      <c r="G2219" s="313"/>
      <c r="H2219" s="313"/>
      <c r="I2219" s="313"/>
      <c r="J2219" s="313"/>
      <c r="K2219" s="313"/>
      <c r="L2219" s="313"/>
      <c r="M2219" s="313"/>
      <c r="N2219" s="313"/>
      <c r="O2219" s="314"/>
      <c r="P2219" s="415">
        <f>'[1]5.LO'!E359</f>
        <v>0</v>
      </c>
      <c r="Q2219" s="416"/>
      <c r="R2219" s="416"/>
      <c r="S2219" s="416"/>
      <c r="T2219" s="416"/>
      <c r="U2219" s="417"/>
      <c r="V2219" s="296"/>
    </row>
    <row r="2220" spans="1:22" s="16" customFormat="1" ht="14.25" customHeight="1" x14ac:dyDescent="0.25">
      <c r="A2220" s="14"/>
      <c r="B2220" s="23"/>
      <c r="C2220" s="23"/>
      <c r="D2220" s="315"/>
      <c r="E2220" s="308" t="s">
        <v>886</v>
      </c>
      <c r="F2220" s="313"/>
      <c r="G2220" s="313"/>
      <c r="H2220" s="313"/>
      <c r="I2220" s="313"/>
      <c r="J2220" s="313"/>
      <c r="K2220" s="313"/>
      <c r="L2220" s="313"/>
      <c r="M2220" s="313"/>
      <c r="N2220" s="313"/>
      <c r="O2220" s="314"/>
      <c r="P2220" s="415">
        <f>'[1]5.LO'!E360</f>
        <v>0</v>
      </c>
      <c r="Q2220" s="416"/>
      <c r="R2220" s="416"/>
      <c r="S2220" s="416"/>
      <c r="T2220" s="416"/>
      <c r="U2220" s="417"/>
      <c r="V2220" s="296"/>
    </row>
    <row r="2221" spans="1:22" s="16" customFormat="1" ht="22.5" customHeight="1" x14ac:dyDescent="0.2">
      <c r="A2221" s="14"/>
      <c r="B2221" s="29"/>
      <c r="C2221" s="173"/>
      <c r="D2221" s="445" t="s">
        <v>887</v>
      </c>
      <c r="E2221" s="446"/>
      <c r="F2221" s="446"/>
      <c r="G2221" s="446"/>
      <c r="H2221" s="446"/>
      <c r="I2221" s="446"/>
      <c r="J2221" s="446"/>
      <c r="K2221" s="446"/>
      <c r="L2221" s="446"/>
      <c r="M2221" s="446"/>
      <c r="N2221" s="446"/>
      <c r="O2221" s="447"/>
      <c r="P2221" s="430">
        <f>P2114+P2153+P2156+P2162+P2165+P2168+P2180+P2187+P2194+P2196+P2204+P2206+P2209+P2211+P2213+P2218</f>
        <v>3511494582</v>
      </c>
      <c r="Q2221" s="431"/>
      <c r="R2221" s="431"/>
      <c r="S2221" s="431"/>
      <c r="T2221" s="431"/>
      <c r="U2221" s="432"/>
      <c r="V2221" s="23"/>
    </row>
    <row r="2222" spans="1:22" s="16" customFormat="1" ht="19.5" customHeight="1" x14ac:dyDescent="0.2">
      <c r="A2222" s="14"/>
      <c r="B2222" s="29"/>
      <c r="C2222" s="173"/>
      <c r="D2222" s="173"/>
      <c r="E2222" s="173"/>
      <c r="F2222" s="173"/>
      <c r="G2222" s="173"/>
      <c r="H2222" s="173"/>
      <c r="I2222" s="173"/>
      <c r="J2222" s="312"/>
      <c r="K2222" s="312"/>
      <c r="L2222" s="312"/>
      <c r="M2222" s="312"/>
      <c r="N2222" s="312"/>
      <c r="O2222" s="312"/>
      <c r="P2222" s="312"/>
      <c r="Q2222" s="312"/>
      <c r="R2222" s="448"/>
      <c r="S2222" s="448"/>
      <c r="T2222" s="64"/>
      <c r="U2222" s="64"/>
      <c r="V2222" s="23"/>
    </row>
    <row r="2223" spans="1:22" s="16" customFormat="1" ht="16.5" customHeight="1" x14ac:dyDescent="0.2">
      <c r="A2223" s="14"/>
      <c r="B2223" s="56"/>
      <c r="C2223" s="303" t="s">
        <v>175</v>
      </c>
      <c r="D2223" s="409" t="s">
        <v>25</v>
      </c>
      <c r="E2223" s="409"/>
      <c r="F2223" s="409"/>
      <c r="G2223" s="409"/>
      <c r="H2223" s="409"/>
      <c r="I2223" s="409"/>
      <c r="J2223" s="409"/>
      <c r="K2223" s="409"/>
      <c r="L2223" s="409"/>
      <c r="M2223" s="409"/>
      <c r="N2223" s="409"/>
      <c r="O2223" s="409"/>
      <c r="P2223" s="409"/>
      <c r="Q2223" s="409"/>
      <c r="R2223" s="409"/>
      <c r="S2223" s="409"/>
      <c r="T2223" s="409"/>
      <c r="U2223" s="409"/>
      <c r="V2223" s="23"/>
    </row>
    <row r="2224" spans="1:22" s="16" customFormat="1" ht="69" customHeight="1" x14ac:dyDescent="0.2">
      <c r="A2224" s="14"/>
      <c r="C2224" s="29"/>
      <c r="D2224" s="407" t="str">
        <f>"Beban Pemeliharaan Tahun "&amp;'[1]2.ISIAN DATA SKPD'!D11&amp;"  dan tahun "&amp;'[1]2.ISIAN DATA SKPD'!D12&amp;" adalah masing-masing sebesar Rp. "&amp;FIXED(J1984)&amp;" dan "&amp;FIXED(P1984)&amp;" mengalami  kenaikan sebesar Rp. "&amp;FIXED(AC1984)&amp;" atau sebesar "&amp;FIXED(Y1984)&amp;"% dari tahun "&amp;'[1]2.ISIAN DATA SKPD'!D12&amp;"."</f>
        <v>Beban Pemeliharaan Tahun 2018  dan tahun 2017 adalah masing-masing sebesar Rp. 0,00 dan 70.118.478,00 mengalami  kenaikan sebesar Rp. -70.118.478,00 atau sebesar -100,00% dari tahun 2017.</v>
      </c>
      <c r="E2224" s="407"/>
      <c r="F2224" s="407"/>
      <c r="G2224" s="407"/>
      <c r="H2224" s="407"/>
      <c r="I2224" s="407"/>
      <c r="J2224" s="407"/>
      <c r="K2224" s="407"/>
      <c r="L2224" s="407"/>
      <c r="M2224" s="407"/>
      <c r="N2224" s="407"/>
      <c r="O2224" s="407"/>
      <c r="P2224" s="407"/>
      <c r="Q2224" s="407"/>
      <c r="R2224" s="407"/>
      <c r="S2224" s="407"/>
      <c r="T2224" s="407"/>
      <c r="U2224" s="407"/>
      <c r="V2224" s="23"/>
    </row>
    <row r="2225" spans="1:22" s="16" customFormat="1" ht="66.75" customHeight="1" x14ac:dyDescent="0.2">
      <c r="A2225" s="14"/>
      <c r="C2225" s="29"/>
      <c r="D2225" s="407" t="str">
        <f>"Beban Pemeliharaan merupakan beban yang dimaksudkan untuk mempertahankan aset tetap atau aset lainnya yang sudah ada ke dalam kondisi normal. Rincian beban pemeliharaan untuk Tahun "&amp;'[1]2.ISIAN DATA SKPD'!D11&amp;" adalah sebagai berikut:"</f>
        <v>Beban Pemeliharaan merupakan beban yang dimaksudkan untuk mempertahankan aset tetap atau aset lainnya yang sudah ada ke dalam kondisi normal. Rincian beban pemeliharaan untuk Tahun 2018 adalah sebagai berikut:</v>
      </c>
      <c r="E2225" s="407"/>
      <c r="F2225" s="407"/>
      <c r="G2225" s="407"/>
      <c r="H2225" s="407"/>
      <c r="I2225" s="407"/>
      <c r="J2225" s="407"/>
      <c r="K2225" s="407"/>
      <c r="L2225" s="407"/>
      <c r="M2225" s="407"/>
      <c r="N2225" s="407"/>
      <c r="O2225" s="407"/>
      <c r="P2225" s="407"/>
      <c r="Q2225" s="407"/>
      <c r="R2225" s="407"/>
      <c r="S2225" s="407"/>
      <c r="T2225" s="407"/>
      <c r="U2225" s="407"/>
      <c r="V2225" s="23"/>
    </row>
    <row r="2226" spans="1:22" s="16" customFormat="1" ht="14.25" customHeight="1" x14ac:dyDescent="0.2">
      <c r="A2226" s="14"/>
      <c r="C2226" s="29"/>
      <c r="D2226" s="77"/>
      <c r="E2226" s="77"/>
      <c r="F2226" s="77"/>
      <c r="G2226" s="77"/>
      <c r="H2226" s="77"/>
      <c r="I2226" s="77"/>
      <c r="J2226" s="77"/>
      <c r="K2226" s="77"/>
      <c r="L2226" s="77"/>
      <c r="M2226" s="77"/>
      <c r="N2226" s="77"/>
      <c r="O2226" s="77"/>
      <c r="P2226" s="77"/>
      <c r="Q2226" s="77"/>
      <c r="R2226" s="77"/>
      <c r="S2226" s="77"/>
      <c r="T2226" s="77"/>
      <c r="U2226" s="77"/>
      <c r="V2226" s="23"/>
    </row>
    <row r="2227" spans="1:22" s="87" customFormat="1" ht="21" customHeight="1" x14ac:dyDescent="0.2">
      <c r="A2227" s="86"/>
      <c r="C2227" s="316"/>
      <c r="D2227" s="424" t="str">
        <f>"Rincian Beban Pemeliharaan Tahun "&amp;'[1]2.ISIAN DATA SKPD'!D11&amp;""</f>
        <v>Rincian Beban Pemeliharaan Tahun 2018</v>
      </c>
      <c r="E2227" s="424"/>
      <c r="F2227" s="424"/>
      <c r="G2227" s="424"/>
      <c r="H2227" s="424"/>
      <c r="I2227" s="424"/>
      <c r="J2227" s="424"/>
      <c r="K2227" s="424"/>
      <c r="L2227" s="424"/>
      <c r="M2227" s="424"/>
      <c r="N2227" s="424"/>
      <c r="O2227" s="424"/>
      <c r="P2227" s="424"/>
      <c r="Q2227" s="424"/>
      <c r="R2227" s="424"/>
      <c r="S2227" s="316"/>
      <c r="T2227" s="316"/>
      <c r="U2227" s="316"/>
      <c r="V2227" s="74"/>
    </row>
    <row r="2228" spans="1:22" s="16" customFormat="1" ht="22.5" customHeight="1" x14ac:dyDescent="0.2">
      <c r="A2228" s="14"/>
      <c r="B2228" s="304"/>
      <c r="C2228" s="304"/>
      <c r="D2228" s="425" t="s">
        <v>125</v>
      </c>
      <c r="E2228" s="426"/>
      <c r="F2228" s="426"/>
      <c r="G2228" s="426"/>
      <c r="H2228" s="426"/>
      <c r="I2228" s="426"/>
      <c r="J2228" s="426"/>
      <c r="K2228" s="427"/>
      <c r="L2228" s="428" t="s">
        <v>205</v>
      </c>
      <c r="M2228" s="428"/>
      <c r="N2228" s="428"/>
      <c r="O2228" s="428"/>
      <c r="P2228" s="428"/>
      <c r="Q2228" s="428"/>
      <c r="R2228" s="428"/>
      <c r="S2228" s="304"/>
      <c r="T2228" s="317"/>
      <c r="U2228" s="317"/>
      <c r="V2228" s="23"/>
    </row>
    <row r="2229" spans="1:22" s="16" customFormat="1" ht="32.25" customHeight="1" x14ac:dyDescent="0.2">
      <c r="A2229" s="14"/>
      <c r="B2229" s="29"/>
      <c r="C2229" s="173"/>
      <c r="D2229" s="412" t="s">
        <v>888</v>
      </c>
      <c r="E2229" s="413"/>
      <c r="F2229" s="413"/>
      <c r="G2229" s="413"/>
      <c r="H2229" s="413"/>
      <c r="I2229" s="413"/>
      <c r="J2229" s="413"/>
      <c r="K2229" s="414"/>
      <c r="L2229" s="415">
        <f>'[1]5.LO'!E362</f>
        <v>0</v>
      </c>
      <c r="M2229" s="416"/>
      <c r="N2229" s="416"/>
      <c r="O2229" s="416"/>
      <c r="P2229" s="416"/>
      <c r="Q2229" s="416"/>
      <c r="R2229" s="417"/>
      <c r="S2229" s="312"/>
      <c r="T2229" s="20"/>
      <c r="U2229" s="20"/>
      <c r="V2229" s="23"/>
    </row>
    <row r="2230" spans="1:22" s="16" customFormat="1" ht="18" customHeight="1" x14ac:dyDescent="0.2">
      <c r="A2230" s="14"/>
      <c r="B2230" s="29"/>
      <c r="C2230" s="173"/>
      <c r="D2230" s="412" t="s">
        <v>889</v>
      </c>
      <c r="E2230" s="413"/>
      <c r="F2230" s="413"/>
      <c r="G2230" s="413"/>
      <c r="H2230" s="413"/>
      <c r="I2230" s="413"/>
      <c r="J2230" s="413"/>
      <c r="K2230" s="414"/>
      <c r="L2230" s="415">
        <f>'[1]5.LO'!E369</f>
        <v>0</v>
      </c>
      <c r="M2230" s="416"/>
      <c r="N2230" s="416"/>
      <c r="O2230" s="416"/>
      <c r="P2230" s="416"/>
      <c r="Q2230" s="416"/>
      <c r="R2230" s="417"/>
      <c r="S2230" s="312"/>
      <c r="T2230" s="20"/>
      <c r="U2230" s="20"/>
      <c r="V2230" s="23"/>
    </row>
    <row r="2231" spans="1:22" s="16" customFormat="1" ht="32.25" customHeight="1" x14ac:dyDescent="0.2">
      <c r="A2231" s="14"/>
      <c r="B2231" s="23"/>
      <c r="C2231" s="23"/>
      <c r="D2231" s="439" t="s">
        <v>890</v>
      </c>
      <c r="E2231" s="440"/>
      <c r="F2231" s="440"/>
      <c r="G2231" s="440"/>
      <c r="H2231" s="440"/>
      <c r="I2231" s="440"/>
      <c r="J2231" s="440"/>
      <c r="K2231" s="441"/>
      <c r="L2231" s="442">
        <f>SUM(L2229:R2230)</f>
        <v>0</v>
      </c>
      <c r="M2231" s="443"/>
      <c r="N2231" s="443"/>
      <c r="O2231" s="443"/>
      <c r="P2231" s="443"/>
      <c r="Q2231" s="443"/>
      <c r="R2231" s="444"/>
      <c r="S2231" s="77"/>
      <c r="T2231" s="37"/>
      <c r="U2231" s="37"/>
      <c r="V2231" s="23"/>
    </row>
    <row r="2232" spans="1:22" s="16" customFormat="1" ht="19.5" customHeight="1" x14ac:dyDescent="0.2">
      <c r="A2232" s="14"/>
      <c r="B2232" s="23"/>
      <c r="C2232" s="23"/>
      <c r="D2232" s="318"/>
      <c r="E2232" s="318"/>
      <c r="F2232" s="318"/>
      <c r="G2232" s="318"/>
      <c r="H2232" s="318"/>
      <c r="I2232" s="318"/>
      <c r="J2232" s="318"/>
      <c r="K2232" s="318"/>
      <c r="L2232" s="133"/>
      <c r="M2232" s="133"/>
      <c r="N2232" s="133"/>
      <c r="O2232" s="133"/>
      <c r="P2232" s="133"/>
      <c r="Q2232" s="133"/>
      <c r="R2232" s="133"/>
      <c r="S2232" s="77"/>
      <c r="T2232" s="37"/>
      <c r="U2232" s="37"/>
      <c r="V2232" s="23"/>
    </row>
    <row r="2233" spans="1:22" s="16" customFormat="1" ht="22.5" customHeight="1" x14ac:dyDescent="0.2">
      <c r="A2233" s="14"/>
      <c r="B2233" s="56"/>
      <c r="C2233" s="303" t="s">
        <v>183</v>
      </c>
      <c r="D2233" s="409" t="s">
        <v>26</v>
      </c>
      <c r="E2233" s="409"/>
      <c r="F2233" s="409"/>
      <c r="G2233" s="409"/>
      <c r="H2233" s="409"/>
      <c r="I2233" s="409"/>
      <c r="J2233" s="409"/>
      <c r="K2233" s="409"/>
      <c r="L2233" s="409"/>
      <c r="M2233" s="409"/>
      <c r="N2233" s="409"/>
      <c r="O2233" s="409"/>
      <c r="P2233" s="409"/>
      <c r="Q2233" s="409"/>
      <c r="R2233" s="409"/>
      <c r="S2233" s="409"/>
      <c r="T2233" s="409"/>
      <c r="U2233" s="409"/>
      <c r="V2233" s="23"/>
    </row>
    <row r="2234" spans="1:22" s="16" customFormat="1" ht="63.75" customHeight="1" x14ac:dyDescent="0.2">
      <c r="A2234" s="14"/>
      <c r="C2234" s="29"/>
      <c r="D2234" s="407" t="str">
        <f>"Beban Perjalanan Dinas Tahun "&amp;'[1]2.ISIAN DATA SKPD'!D11&amp;"  dan tahun "&amp;'[1]2.ISIAN DATA SKPD'!D12&amp;" adalah masing-masing sebesar Rp. "&amp;FIXED(J1985)&amp;" dan "&amp;FIXED(P1985)&amp;" mengalami kenaikan sebesar Rp. "&amp;FIXED(AC1985)&amp;" atau sebesar "&amp;FIXED(Y1985)&amp;"% dari tahun "&amp;'[1]2.ISIAN DATA SKPD'!D12&amp;" ."</f>
        <v>Beban Perjalanan Dinas Tahun 2018  dan tahun 2017 adalah masing-masing sebesar Rp. 512.102.737,00 dan 170.430.568,00 mengalami kenaikan sebesar Rp. 341.672.169,00 atau sebesar 200,48% dari tahun 2017 .</v>
      </c>
      <c r="E2234" s="407"/>
      <c r="F2234" s="407"/>
      <c r="G2234" s="407"/>
      <c r="H2234" s="407"/>
      <c r="I2234" s="407"/>
      <c r="J2234" s="407"/>
      <c r="K2234" s="407"/>
      <c r="L2234" s="407"/>
      <c r="M2234" s="407"/>
      <c r="N2234" s="407"/>
      <c r="O2234" s="407"/>
      <c r="P2234" s="407"/>
      <c r="Q2234" s="407"/>
      <c r="R2234" s="407"/>
      <c r="S2234" s="407"/>
      <c r="T2234" s="407"/>
      <c r="U2234" s="407"/>
      <c r="V2234" s="23"/>
    </row>
    <row r="2235" spans="1:22" s="16" customFormat="1" ht="63.75" customHeight="1" x14ac:dyDescent="0.2">
      <c r="A2235" s="14"/>
      <c r="C2235" s="29"/>
      <c r="D2235" s="407" t="str">
        <f>"Beban tersebut merupakan beban yang terjadi untuk perjalanan dinas dalam rangka pelaksanaan tugas, fungsi, dan jabatan. Rincian Beban Perjalanan Dinas untuk Tahun "&amp;'[1]2.ISIAN DATA SKPD'!D11&amp;" adalah sebagai berikut: "</f>
        <v xml:space="preserve">Beban tersebut merupakan beban yang terjadi untuk perjalanan dinas dalam rangka pelaksanaan tugas, fungsi, dan jabatan. Rincian Beban Perjalanan Dinas untuk Tahun 2018 adalah sebagai berikut: </v>
      </c>
      <c r="E2235" s="407"/>
      <c r="F2235" s="407"/>
      <c r="G2235" s="407"/>
      <c r="H2235" s="407"/>
      <c r="I2235" s="407"/>
      <c r="J2235" s="407"/>
      <c r="K2235" s="407"/>
      <c r="L2235" s="407"/>
      <c r="M2235" s="407"/>
      <c r="N2235" s="407"/>
      <c r="O2235" s="407"/>
      <c r="P2235" s="407"/>
      <c r="Q2235" s="407"/>
      <c r="R2235" s="407"/>
      <c r="S2235" s="407"/>
      <c r="T2235" s="407"/>
      <c r="U2235" s="407"/>
      <c r="V2235" s="23"/>
    </row>
    <row r="2236" spans="1:22" s="16" customFormat="1" ht="15.75" customHeight="1" x14ac:dyDescent="0.2">
      <c r="A2236" s="14"/>
      <c r="C2236" s="29"/>
      <c r="D2236" s="77"/>
      <c r="E2236" s="77"/>
      <c r="F2236" s="77"/>
      <c r="G2236" s="77"/>
      <c r="H2236" s="77"/>
      <c r="I2236" s="77"/>
      <c r="J2236" s="77"/>
      <c r="K2236" s="77"/>
      <c r="L2236" s="77"/>
      <c r="M2236" s="77"/>
      <c r="N2236" s="77"/>
      <c r="O2236" s="77"/>
      <c r="P2236" s="77"/>
      <c r="Q2236" s="77"/>
      <c r="R2236" s="77"/>
      <c r="S2236" s="77"/>
      <c r="T2236" s="77"/>
      <c r="U2236" s="77"/>
      <c r="V2236" s="23"/>
    </row>
    <row r="2237" spans="1:22" s="16" customFormat="1" ht="21.75" customHeight="1" x14ac:dyDescent="0.2">
      <c r="A2237" s="14"/>
      <c r="C2237" s="316"/>
      <c r="D2237" s="424" t="str">
        <f>"Rincian Beban Perjalanan Dinas Tahun "&amp;'[1]2.ISIAN DATA SKPD'!D11&amp;""</f>
        <v>Rincian Beban Perjalanan Dinas Tahun 2018</v>
      </c>
      <c r="E2237" s="424"/>
      <c r="F2237" s="424"/>
      <c r="G2237" s="424"/>
      <c r="H2237" s="424"/>
      <c r="I2237" s="424"/>
      <c r="J2237" s="424"/>
      <c r="K2237" s="424"/>
      <c r="L2237" s="424"/>
      <c r="M2237" s="424"/>
      <c r="N2237" s="424"/>
      <c r="O2237" s="424"/>
      <c r="P2237" s="424"/>
      <c r="Q2237" s="424"/>
      <c r="R2237" s="424"/>
      <c r="S2237" s="316"/>
      <c r="T2237" s="316"/>
      <c r="U2237" s="316"/>
      <c r="V2237" s="23"/>
    </row>
    <row r="2238" spans="1:22" s="16" customFormat="1" ht="22.5" customHeight="1" x14ac:dyDescent="0.2">
      <c r="A2238" s="14"/>
      <c r="B2238" s="304"/>
      <c r="C2238" s="304"/>
      <c r="D2238" s="425" t="s">
        <v>125</v>
      </c>
      <c r="E2238" s="426"/>
      <c r="F2238" s="426"/>
      <c r="G2238" s="426"/>
      <c r="H2238" s="426"/>
      <c r="I2238" s="426"/>
      <c r="J2238" s="426"/>
      <c r="K2238" s="427"/>
      <c r="L2238" s="428" t="s">
        <v>205</v>
      </c>
      <c r="M2238" s="428"/>
      <c r="N2238" s="428"/>
      <c r="O2238" s="428"/>
      <c r="P2238" s="428"/>
      <c r="Q2238" s="428"/>
      <c r="R2238" s="428"/>
      <c r="S2238" s="304"/>
      <c r="T2238" s="317"/>
      <c r="U2238" s="317"/>
      <c r="V2238" s="23"/>
    </row>
    <row r="2239" spans="1:22" s="16" customFormat="1" ht="18.75" customHeight="1" x14ac:dyDescent="0.25">
      <c r="A2239" s="14"/>
      <c r="B2239" s="319"/>
      <c r="C2239" s="320"/>
      <c r="D2239" s="412" t="s">
        <v>891</v>
      </c>
      <c r="E2239" s="437"/>
      <c r="F2239" s="437"/>
      <c r="G2239" s="437"/>
      <c r="H2239" s="437"/>
      <c r="I2239" s="437"/>
      <c r="J2239" s="437"/>
      <c r="K2239" s="438"/>
      <c r="L2239" s="415">
        <f>'[1]5.LO'!E375</f>
        <v>512102737</v>
      </c>
      <c r="M2239" s="416"/>
      <c r="N2239" s="416"/>
      <c r="O2239" s="416"/>
      <c r="P2239" s="416"/>
      <c r="Q2239" s="416"/>
      <c r="R2239" s="417"/>
      <c r="S2239" s="312"/>
      <c r="T2239" s="317"/>
      <c r="U2239" s="317"/>
      <c r="V2239" s="23"/>
    </row>
    <row r="2240" spans="1:22" s="16" customFormat="1" ht="34.5" customHeight="1" x14ac:dyDescent="0.2">
      <c r="A2240" s="14"/>
      <c r="B2240" s="319"/>
      <c r="C2240" s="320"/>
      <c r="D2240" s="434" t="s">
        <v>892</v>
      </c>
      <c r="E2240" s="435"/>
      <c r="F2240" s="435"/>
      <c r="G2240" s="435"/>
      <c r="H2240" s="435"/>
      <c r="I2240" s="435"/>
      <c r="J2240" s="435"/>
      <c r="K2240" s="436"/>
      <c r="L2240" s="415">
        <f>'[1]5.LO'!E378</f>
        <v>0</v>
      </c>
      <c r="M2240" s="416"/>
      <c r="N2240" s="416"/>
      <c r="O2240" s="416"/>
      <c r="P2240" s="416"/>
      <c r="Q2240" s="416"/>
      <c r="R2240" s="417"/>
      <c r="S2240" s="312"/>
      <c r="T2240" s="317"/>
      <c r="U2240" s="317"/>
      <c r="V2240" s="23"/>
    </row>
    <row r="2241" spans="1:22" s="16" customFormat="1" ht="31.5" customHeight="1" x14ac:dyDescent="0.2">
      <c r="A2241" s="429"/>
      <c r="B2241" s="319"/>
      <c r="C2241" s="320"/>
      <c r="D2241" s="418" t="s">
        <v>893</v>
      </c>
      <c r="E2241" s="419"/>
      <c r="F2241" s="419"/>
      <c r="G2241" s="419"/>
      <c r="H2241" s="419"/>
      <c r="I2241" s="419"/>
      <c r="J2241" s="419"/>
      <c r="K2241" s="420"/>
      <c r="L2241" s="421">
        <f>SUM(L2239:R2240)</f>
        <v>512102737</v>
      </c>
      <c r="M2241" s="422"/>
      <c r="N2241" s="422"/>
      <c r="O2241" s="422"/>
      <c r="P2241" s="422"/>
      <c r="Q2241" s="422"/>
      <c r="R2241" s="423"/>
      <c r="S2241" s="312"/>
      <c r="T2241" s="20"/>
      <c r="U2241" s="20"/>
      <c r="V2241" s="23"/>
    </row>
    <row r="2242" spans="1:22" s="16" customFormat="1" ht="22.5" customHeight="1" x14ac:dyDescent="0.2">
      <c r="A2242" s="429"/>
      <c r="B2242" s="319"/>
      <c r="C2242" s="320"/>
      <c r="D2242" s="320"/>
      <c r="E2242" s="320"/>
      <c r="F2242" s="320"/>
      <c r="G2242" s="320"/>
      <c r="H2242" s="320"/>
      <c r="I2242" s="320"/>
      <c r="J2242" s="312"/>
      <c r="K2242" s="312"/>
      <c r="L2242" s="312"/>
      <c r="M2242" s="312"/>
      <c r="N2242" s="312"/>
      <c r="O2242" s="312"/>
      <c r="P2242" s="312"/>
      <c r="Q2242" s="312"/>
      <c r="R2242" s="312"/>
      <c r="S2242" s="312"/>
      <c r="T2242" s="20"/>
      <c r="U2242" s="20"/>
      <c r="V2242" s="23"/>
    </row>
    <row r="2243" spans="1:22" s="16" customFormat="1" ht="20.25" customHeight="1" x14ac:dyDescent="0.2">
      <c r="A2243" s="21"/>
      <c r="B2243" s="319"/>
      <c r="C2243" s="304" t="s">
        <v>487</v>
      </c>
      <c r="D2243" s="409" t="s">
        <v>27</v>
      </c>
      <c r="E2243" s="409"/>
      <c r="F2243" s="409"/>
      <c r="G2243" s="409"/>
      <c r="H2243" s="409"/>
      <c r="I2243" s="409"/>
      <c r="J2243" s="409"/>
      <c r="K2243" s="409"/>
      <c r="L2243" s="409"/>
      <c r="M2243" s="409"/>
      <c r="N2243" s="409"/>
      <c r="O2243" s="409"/>
      <c r="P2243" s="409"/>
      <c r="Q2243" s="409"/>
      <c r="R2243" s="409"/>
      <c r="S2243" s="409"/>
      <c r="T2243" s="409"/>
      <c r="U2243" s="409"/>
      <c r="V2243" s="23"/>
    </row>
    <row r="2244" spans="1:22" s="16" customFormat="1" ht="19.5" customHeight="1" x14ac:dyDescent="0.2">
      <c r="A2244" s="21"/>
      <c r="B2244" s="319"/>
      <c r="C2244" s="304" t="s">
        <v>489</v>
      </c>
      <c r="D2244" s="409" t="s">
        <v>28</v>
      </c>
      <c r="E2244" s="409"/>
      <c r="F2244" s="409"/>
      <c r="G2244" s="409"/>
      <c r="H2244" s="409"/>
      <c r="I2244" s="409"/>
      <c r="J2244" s="409"/>
      <c r="K2244" s="409"/>
      <c r="L2244" s="409"/>
      <c r="M2244" s="409"/>
      <c r="N2244" s="409"/>
      <c r="O2244" s="409"/>
      <c r="P2244" s="409"/>
      <c r="Q2244" s="409"/>
      <c r="R2244" s="409"/>
      <c r="S2244" s="409"/>
      <c r="T2244" s="409"/>
      <c r="U2244" s="409"/>
      <c r="V2244" s="23"/>
    </row>
    <row r="2245" spans="1:22" s="16" customFormat="1" ht="24" customHeight="1" x14ac:dyDescent="0.2">
      <c r="A2245" s="14"/>
      <c r="B2245" s="56"/>
      <c r="C2245" s="303" t="s">
        <v>894</v>
      </c>
      <c r="D2245" s="409" t="s">
        <v>895</v>
      </c>
      <c r="E2245" s="409"/>
      <c r="F2245" s="409"/>
      <c r="G2245" s="409"/>
      <c r="H2245" s="409"/>
      <c r="I2245" s="409"/>
      <c r="J2245" s="409"/>
      <c r="K2245" s="409"/>
      <c r="L2245" s="409"/>
      <c r="M2245" s="409"/>
      <c r="N2245" s="409"/>
      <c r="O2245" s="409"/>
      <c r="P2245" s="409"/>
      <c r="Q2245" s="409"/>
      <c r="R2245" s="409"/>
      <c r="S2245" s="409"/>
      <c r="T2245" s="409"/>
      <c r="U2245" s="409"/>
      <c r="V2245" s="23"/>
    </row>
    <row r="2246" spans="1:22" s="16" customFormat="1" ht="66.75" customHeight="1" x14ac:dyDescent="0.2">
      <c r="A2246" s="14"/>
      <c r="C2246" s="29"/>
      <c r="D2246" s="407" t="str">
        <f>"Beban Hibah / Barang untuk Diserahkan kepada Masyarakat Tahun "&amp;'[1]2.ISIAN DATA SKPD'!D11&amp;" dan tahun "&amp;'[1]2.ISIAN DATA SKPD'!D12&amp;" adalah masing-masing sebesar Rp. "&amp;FIXED(J1988)&amp;" dan "&amp;FIXED(P1988)&amp;" mengalami kenaikan/penurunan sebesar Rp. "&amp;FIXED(AC1988)&amp;""</f>
        <v>Beban Hibah / Barang untuk Diserahkan kepada Masyarakat Tahun 2018 dan tahun 2017 adalah masing-masing sebesar Rp. 954.935.000,00 dan 327.696.600,00 mengalami kenaikan/penurunan sebesar Rp. 627.238.400,00</v>
      </c>
      <c r="E2246" s="407"/>
      <c r="F2246" s="407"/>
      <c r="G2246" s="407"/>
      <c r="H2246" s="407"/>
      <c r="I2246" s="407"/>
      <c r="J2246" s="407"/>
      <c r="K2246" s="407"/>
      <c r="L2246" s="407"/>
      <c r="M2246" s="407"/>
      <c r="N2246" s="407"/>
      <c r="O2246" s="407"/>
      <c r="P2246" s="407"/>
      <c r="Q2246" s="407"/>
      <c r="R2246" s="407"/>
      <c r="S2246" s="407"/>
      <c r="T2246" s="407"/>
      <c r="U2246" s="407"/>
      <c r="V2246" s="23"/>
    </row>
    <row r="2247" spans="1:22" s="16" customFormat="1" ht="63" customHeight="1" x14ac:dyDescent="0.2">
      <c r="A2247" s="14"/>
      <c r="C2247" s="29"/>
      <c r="D2247" s="407" t="s">
        <v>896</v>
      </c>
      <c r="E2247" s="407"/>
      <c r="F2247" s="407"/>
      <c r="G2247" s="407"/>
      <c r="H2247" s="407"/>
      <c r="I2247" s="407"/>
      <c r="J2247" s="407"/>
      <c r="K2247" s="407"/>
      <c r="L2247" s="407"/>
      <c r="M2247" s="407"/>
      <c r="N2247" s="407"/>
      <c r="O2247" s="407"/>
      <c r="P2247" s="407"/>
      <c r="Q2247" s="407"/>
      <c r="R2247" s="407"/>
      <c r="S2247" s="407"/>
      <c r="T2247" s="407"/>
      <c r="U2247" s="407"/>
      <c r="V2247" s="23"/>
    </row>
    <row r="2248" spans="1:22" s="16" customFormat="1" ht="37.5" customHeight="1" x14ac:dyDescent="0.2">
      <c r="A2248" s="14"/>
      <c r="C2248" s="29"/>
      <c r="D2248" s="407" t="str">
        <f>"Rincian Beban Barang untuk Diserahkan kepada Masyarakat untuk Tahun "&amp;'[1]2.ISIAN DATA SKPD'!D11&amp;" adalah sebagai berikut: "</f>
        <v xml:space="preserve">Rincian Beban Barang untuk Diserahkan kepada Masyarakat untuk Tahun 2018 adalah sebagai berikut: </v>
      </c>
      <c r="E2248" s="407"/>
      <c r="F2248" s="407"/>
      <c r="G2248" s="407"/>
      <c r="H2248" s="407"/>
      <c r="I2248" s="407"/>
      <c r="J2248" s="407"/>
      <c r="K2248" s="407"/>
      <c r="L2248" s="407"/>
      <c r="M2248" s="407"/>
      <c r="N2248" s="407"/>
      <c r="O2248" s="407"/>
      <c r="P2248" s="407"/>
      <c r="Q2248" s="407"/>
      <c r="R2248" s="407"/>
      <c r="S2248" s="407"/>
      <c r="T2248" s="407"/>
      <c r="U2248" s="407"/>
      <c r="V2248" s="23"/>
    </row>
    <row r="2249" spans="1:22" s="16" customFormat="1" ht="21.75" customHeight="1" x14ac:dyDescent="0.2">
      <c r="A2249" s="14"/>
      <c r="C2249" s="29"/>
      <c r="D2249" s="77"/>
      <c r="E2249" s="77"/>
      <c r="F2249" s="77"/>
      <c r="G2249" s="77"/>
      <c r="H2249" s="77"/>
      <c r="I2249" s="77"/>
      <c r="J2249" s="77"/>
      <c r="K2249" s="77"/>
      <c r="L2249" s="77"/>
      <c r="M2249" s="77"/>
      <c r="N2249" s="77"/>
      <c r="O2249" s="77"/>
      <c r="P2249" s="77"/>
      <c r="Q2249" s="77"/>
      <c r="R2249" s="77"/>
      <c r="S2249" s="77"/>
      <c r="T2249" s="77"/>
      <c r="U2249" s="77"/>
      <c r="V2249" s="23"/>
    </row>
    <row r="2250" spans="1:22" s="16" customFormat="1" ht="22.5" customHeight="1" x14ac:dyDescent="0.2">
      <c r="A2250" s="14"/>
      <c r="C2250" s="116"/>
      <c r="D2250" s="433" t="str">
        <f>" Beban Hibah  Tahun "&amp;'[1]2.ISIAN DATA SKPD'!D11&amp;""</f>
        <v xml:space="preserve"> Beban Hibah  Tahun 2018</v>
      </c>
      <c r="E2250" s="433"/>
      <c r="F2250" s="433"/>
      <c r="G2250" s="433"/>
      <c r="H2250" s="433"/>
      <c r="I2250" s="433"/>
      <c r="J2250" s="433"/>
      <c r="K2250" s="433"/>
      <c r="L2250" s="433"/>
      <c r="M2250" s="433"/>
      <c r="N2250" s="433"/>
      <c r="O2250" s="433"/>
      <c r="P2250" s="433"/>
      <c r="Q2250" s="433"/>
      <c r="R2250" s="433"/>
      <c r="S2250" s="116"/>
      <c r="T2250" s="116"/>
      <c r="U2250" s="116"/>
      <c r="V2250" s="23"/>
    </row>
    <row r="2251" spans="1:22" s="16" customFormat="1" ht="15.75" customHeight="1" x14ac:dyDescent="0.2">
      <c r="A2251" s="14"/>
      <c r="B2251" s="304"/>
      <c r="C2251" s="304"/>
      <c r="D2251" s="425" t="s">
        <v>125</v>
      </c>
      <c r="E2251" s="426"/>
      <c r="F2251" s="426"/>
      <c r="G2251" s="426"/>
      <c r="H2251" s="426"/>
      <c r="I2251" s="426"/>
      <c r="J2251" s="426"/>
      <c r="K2251" s="427"/>
      <c r="L2251" s="428" t="s">
        <v>205</v>
      </c>
      <c r="M2251" s="428"/>
      <c r="N2251" s="428"/>
      <c r="O2251" s="428"/>
      <c r="P2251" s="428"/>
      <c r="Q2251" s="428"/>
      <c r="R2251" s="428"/>
      <c r="S2251" s="304"/>
      <c r="T2251" s="317"/>
      <c r="U2251" s="317"/>
      <c r="V2251" s="23"/>
    </row>
    <row r="2252" spans="1:22" s="16" customFormat="1" ht="31.5" customHeight="1" x14ac:dyDescent="0.2">
      <c r="A2252" s="5"/>
      <c r="B2252" s="29"/>
      <c r="C2252" s="173"/>
      <c r="D2252" s="412" t="s">
        <v>897</v>
      </c>
      <c r="E2252" s="413"/>
      <c r="F2252" s="413"/>
      <c r="G2252" s="413"/>
      <c r="H2252" s="413"/>
      <c r="I2252" s="413"/>
      <c r="J2252" s="413"/>
      <c r="K2252" s="414"/>
      <c r="L2252" s="415">
        <f>'[1]5.LO'!E384</f>
        <v>0</v>
      </c>
      <c r="M2252" s="416"/>
      <c r="N2252" s="416"/>
      <c r="O2252" s="416"/>
      <c r="P2252" s="416"/>
      <c r="Q2252" s="416"/>
      <c r="R2252" s="417"/>
      <c r="S2252" s="312"/>
      <c r="T2252" s="20"/>
      <c r="U2252" s="20"/>
      <c r="V2252" s="23"/>
    </row>
    <row r="2253" spans="1:22" s="16" customFormat="1" ht="42.75" customHeight="1" x14ac:dyDescent="0.2">
      <c r="A2253" s="5"/>
      <c r="B2253" s="29"/>
      <c r="C2253" s="173"/>
      <c r="D2253" s="412" t="s">
        <v>898</v>
      </c>
      <c r="E2253" s="413"/>
      <c r="F2253" s="413"/>
      <c r="G2253" s="413"/>
      <c r="H2253" s="413"/>
      <c r="I2253" s="413"/>
      <c r="J2253" s="413"/>
      <c r="K2253" s="414"/>
      <c r="L2253" s="415">
        <f>'[1]5.LO'!E386</f>
        <v>0</v>
      </c>
      <c r="M2253" s="416"/>
      <c r="N2253" s="416"/>
      <c r="O2253" s="416"/>
      <c r="P2253" s="416"/>
      <c r="Q2253" s="416"/>
      <c r="R2253" s="417"/>
      <c r="S2253" s="312"/>
      <c r="T2253" s="20"/>
      <c r="U2253" s="20"/>
      <c r="V2253" s="23"/>
    </row>
    <row r="2254" spans="1:22" s="16" customFormat="1" ht="44.25" customHeight="1" x14ac:dyDescent="0.2">
      <c r="A2254" s="5"/>
      <c r="B2254" s="29"/>
      <c r="C2254" s="173"/>
      <c r="D2254" s="412" t="s">
        <v>899</v>
      </c>
      <c r="E2254" s="413"/>
      <c r="F2254" s="413"/>
      <c r="G2254" s="413"/>
      <c r="H2254" s="413"/>
      <c r="I2254" s="413"/>
      <c r="J2254" s="413"/>
      <c r="K2254" s="414"/>
      <c r="L2254" s="415">
        <f>'[1]5.LO'!E388</f>
        <v>0</v>
      </c>
      <c r="M2254" s="416"/>
      <c r="N2254" s="416"/>
      <c r="O2254" s="416"/>
      <c r="P2254" s="416"/>
      <c r="Q2254" s="416"/>
      <c r="R2254" s="417"/>
      <c r="S2254" s="312"/>
      <c r="T2254" s="20"/>
      <c r="U2254" s="20"/>
      <c r="V2254" s="23"/>
    </row>
    <row r="2255" spans="1:22" s="16" customFormat="1" ht="23.25" customHeight="1" x14ac:dyDescent="0.2">
      <c r="A2255" s="5"/>
      <c r="B2255" s="29"/>
      <c r="C2255" s="173"/>
      <c r="D2255" s="412" t="s">
        <v>900</v>
      </c>
      <c r="E2255" s="413"/>
      <c r="F2255" s="413"/>
      <c r="G2255" s="413"/>
      <c r="H2255" s="413"/>
      <c r="I2255" s="413"/>
      <c r="J2255" s="413"/>
      <c r="K2255" s="414"/>
      <c r="L2255" s="415">
        <f>'[1]5.LO'!E392</f>
        <v>0</v>
      </c>
      <c r="M2255" s="416"/>
      <c r="N2255" s="416"/>
      <c r="O2255" s="416"/>
      <c r="P2255" s="416"/>
      <c r="Q2255" s="416"/>
      <c r="R2255" s="417"/>
      <c r="S2255" s="312"/>
      <c r="T2255" s="20"/>
      <c r="U2255" s="20"/>
      <c r="V2255" s="23"/>
    </row>
    <row r="2256" spans="1:22" s="16" customFormat="1" ht="52.5" customHeight="1" x14ac:dyDescent="0.2">
      <c r="A2256" s="5"/>
      <c r="B2256" s="29"/>
      <c r="C2256" s="173"/>
      <c r="D2256" s="412" t="s">
        <v>901</v>
      </c>
      <c r="E2256" s="413"/>
      <c r="F2256" s="413"/>
      <c r="G2256" s="413"/>
      <c r="H2256" s="413"/>
      <c r="I2256" s="413"/>
      <c r="J2256" s="413"/>
      <c r="K2256" s="414"/>
      <c r="L2256" s="415">
        <f>'[1]5.LO'!E394</f>
        <v>954935000</v>
      </c>
      <c r="M2256" s="416"/>
      <c r="N2256" s="416"/>
      <c r="O2256" s="416"/>
      <c r="P2256" s="416"/>
      <c r="Q2256" s="416"/>
      <c r="R2256" s="417"/>
      <c r="S2256" s="312"/>
      <c r="T2256" s="20"/>
      <c r="U2256" s="20"/>
      <c r="V2256" s="23"/>
    </row>
    <row r="2257" spans="1:22" s="16" customFormat="1" ht="34.5" customHeight="1" x14ac:dyDescent="0.2">
      <c r="A2257" s="11"/>
      <c r="B2257" s="29"/>
      <c r="C2257" s="29"/>
      <c r="D2257" s="418" t="s">
        <v>902</v>
      </c>
      <c r="E2257" s="419"/>
      <c r="F2257" s="419"/>
      <c r="G2257" s="419"/>
      <c r="H2257" s="419"/>
      <c r="I2257" s="419"/>
      <c r="J2257" s="419"/>
      <c r="K2257" s="420"/>
      <c r="L2257" s="430">
        <f>SUM(L2252:R2256)</f>
        <v>954935000</v>
      </c>
      <c r="M2257" s="431"/>
      <c r="N2257" s="431"/>
      <c r="O2257" s="431"/>
      <c r="P2257" s="431"/>
      <c r="Q2257" s="431"/>
      <c r="R2257" s="432"/>
      <c r="S2257" s="29"/>
      <c r="T2257" s="20"/>
      <c r="U2257" s="20"/>
      <c r="V2257" s="23"/>
    </row>
    <row r="2258" spans="1:22" s="16" customFormat="1" ht="22.5" customHeight="1" x14ac:dyDescent="0.2">
      <c r="A2258" s="14"/>
      <c r="B2258" s="63"/>
      <c r="C2258" s="63"/>
      <c r="D2258" s="63"/>
      <c r="E2258" s="63"/>
      <c r="F2258" s="63"/>
      <c r="G2258" s="63"/>
      <c r="H2258" s="63"/>
      <c r="I2258" s="63"/>
      <c r="J2258" s="133"/>
      <c r="K2258" s="63"/>
      <c r="L2258" s="63"/>
      <c r="M2258" s="63"/>
      <c r="N2258" s="63"/>
      <c r="O2258" s="133"/>
      <c r="P2258" s="63"/>
      <c r="Q2258" s="63"/>
      <c r="R2258" s="63"/>
      <c r="S2258" s="63"/>
      <c r="T2258" s="64"/>
      <c r="U2258" s="64"/>
      <c r="V2258" s="23"/>
    </row>
    <row r="2259" spans="1:22" s="16" customFormat="1" ht="16.5" customHeight="1" x14ac:dyDescent="0.2">
      <c r="A2259" s="14"/>
      <c r="B2259" s="56"/>
      <c r="C2259" s="303" t="s">
        <v>903</v>
      </c>
      <c r="D2259" s="409" t="s">
        <v>904</v>
      </c>
      <c r="E2259" s="409"/>
      <c r="F2259" s="409"/>
      <c r="G2259" s="409"/>
      <c r="H2259" s="409"/>
      <c r="I2259" s="409"/>
      <c r="J2259" s="409"/>
      <c r="K2259" s="409"/>
      <c r="L2259" s="409"/>
      <c r="M2259" s="409"/>
      <c r="N2259" s="409"/>
      <c r="O2259" s="409"/>
      <c r="P2259" s="409"/>
      <c r="Q2259" s="409"/>
      <c r="R2259" s="409"/>
      <c r="S2259" s="409"/>
      <c r="T2259" s="409"/>
      <c r="U2259" s="409"/>
      <c r="V2259" s="23"/>
    </row>
    <row r="2260" spans="1:22" s="16" customFormat="1" ht="64.5" customHeight="1" x14ac:dyDescent="0.2">
      <c r="A2260" s="14"/>
      <c r="C2260" s="29"/>
      <c r="D2260" s="407" t="str">
        <f>"Beban Bantuan Sosial Tahun "&amp;'[1]2.ISIAN DATA SKPD'!D11&amp;" dan tahun "&amp;('[1]2.ISIAN DATA SKPD'!D12)&amp;"  adalah masing-masing sebesar Rp. "&amp;FIXED(J1989)&amp;" dan "&amp;FIXED(P1989)&amp;" mengalami kenaikan/penurunan sebesar Rp. "&amp;FIXED(AC1989)&amp;""</f>
        <v>Beban Bantuan Sosial Tahun 2018 dan tahun 2017  adalah masing-masing sebesar Rp. 0,00 dan 0,00 mengalami kenaikan/penurunan sebesar Rp. 0,00</v>
      </c>
      <c r="E2260" s="407"/>
      <c r="F2260" s="407"/>
      <c r="G2260" s="407"/>
      <c r="H2260" s="407"/>
      <c r="I2260" s="407"/>
      <c r="J2260" s="407"/>
      <c r="K2260" s="407"/>
      <c r="L2260" s="407"/>
      <c r="M2260" s="407"/>
      <c r="N2260" s="407"/>
      <c r="O2260" s="407"/>
      <c r="P2260" s="407"/>
      <c r="Q2260" s="407"/>
      <c r="R2260" s="407"/>
      <c r="S2260" s="407"/>
      <c r="T2260" s="407"/>
      <c r="U2260" s="407"/>
      <c r="V2260" s="23"/>
    </row>
    <row r="2261" spans="1:22" s="16" customFormat="1" ht="78" customHeight="1" x14ac:dyDescent="0.2">
      <c r="A2261" s="14"/>
      <c r="C2261" s="29"/>
      <c r="D2261" s="407" t="str">
        <f>"Beban bantuan sosial merupakan beban pemerintah dalam bentuk uang/barang atau jasa kepada masyarakat untuk menghindari terjadinya risiko sosial dan bersifat selektif. Rincian Beban Bantuan Sosial untuk Tahun "&amp;'[1]2.ISIAN DATA SKPD'!D11&amp;" adalah sebagai berikut: "</f>
        <v xml:space="preserve">Beban bantuan sosial merupakan beban pemerintah dalam bentuk uang/barang atau jasa kepada masyarakat untuk menghindari terjadinya risiko sosial dan bersifat selektif. Rincian Beban Bantuan Sosial untuk Tahun 2018 adalah sebagai berikut: </v>
      </c>
      <c r="E2261" s="407"/>
      <c r="F2261" s="407"/>
      <c r="G2261" s="407"/>
      <c r="H2261" s="407"/>
      <c r="I2261" s="407"/>
      <c r="J2261" s="407"/>
      <c r="K2261" s="407"/>
      <c r="L2261" s="407"/>
      <c r="M2261" s="407"/>
      <c r="N2261" s="407"/>
      <c r="O2261" s="407"/>
      <c r="P2261" s="407"/>
      <c r="Q2261" s="407"/>
      <c r="R2261" s="407"/>
      <c r="S2261" s="407"/>
      <c r="T2261" s="407"/>
      <c r="U2261" s="407"/>
      <c r="V2261" s="23"/>
    </row>
    <row r="2262" spans="1:22" s="16" customFormat="1" ht="65.25" customHeight="1" x14ac:dyDescent="0.2">
      <c r="A2262" s="14"/>
      <c r="C2262" s="29"/>
      <c r="D2262" s="77"/>
      <c r="E2262" s="77"/>
      <c r="F2262" s="77"/>
      <c r="G2262" s="77"/>
      <c r="H2262" s="77"/>
      <c r="I2262" s="77"/>
      <c r="J2262" s="77"/>
      <c r="K2262" s="77"/>
      <c r="L2262" s="77"/>
      <c r="M2262" s="77"/>
      <c r="N2262" s="77"/>
      <c r="O2262" s="77"/>
      <c r="P2262" s="77"/>
      <c r="Q2262" s="77"/>
      <c r="R2262" s="77"/>
      <c r="S2262" s="77"/>
      <c r="T2262" s="77"/>
      <c r="U2262" s="77"/>
      <c r="V2262" s="23"/>
    </row>
    <row r="2263" spans="1:22" s="16" customFormat="1" ht="22.5" customHeight="1" x14ac:dyDescent="0.2">
      <c r="A2263" s="14"/>
      <c r="C2263" s="316"/>
      <c r="D2263" s="424" t="str">
        <f>"Rincian Beban Bantuan Sosial Tahun "&amp;'[1]2.ISIAN DATA SKPD'!D11&amp;""</f>
        <v>Rincian Beban Bantuan Sosial Tahun 2018</v>
      </c>
      <c r="E2263" s="424"/>
      <c r="F2263" s="424"/>
      <c r="G2263" s="424"/>
      <c r="H2263" s="424"/>
      <c r="I2263" s="424"/>
      <c r="J2263" s="424"/>
      <c r="K2263" s="424"/>
      <c r="L2263" s="424"/>
      <c r="M2263" s="424"/>
      <c r="N2263" s="424"/>
      <c r="O2263" s="424"/>
      <c r="P2263" s="424"/>
      <c r="Q2263" s="424"/>
      <c r="R2263" s="424"/>
      <c r="S2263" s="316"/>
      <c r="T2263" s="316"/>
      <c r="U2263" s="316"/>
      <c r="V2263" s="23"/>
    </row>
    <row r="2264" spans="1:22" s="16" customFormat="1" ht="18" customHeight="1" x14ac:dyDescent="0.2">
      <c r="A2264" s="14"/>
      <c r="B2264" s="321"/>
      <c r="C2264" s="321"/>
      <c r="D2264" s="425" t="s">
        <v>125</v>
      </c>
      <c r="E2264" s="426"/>
      <c r="F2264" s="426"/>
      <c r="G2264" s="426"/>
      <c r="H2264" s="426"/>
      <c r="I2264" s="426"/>
      <c r="J2264" s="426"/>
      <c r="K2264" s="427"/>
      <c r="L2264" s="428" t="s">
        <v>205</v>
      </c>
      <c r="M2264" s="428"/>
      <c r="N2264" s="428"/>
      <c r="O2264" s="428"/>
      <c r="P2264" s="428"/>
      <c r="Q2264" s="428"/>
      <c r="R2264" s="428"/>
      <c r="S2264" s="321"/>
      <c r="T2264" s="321"/>
      <c r="U2264" s="321"/>
      <c r="V2264" s="23"/>
    </row>
    <row r="2265" spans="1:22" s="16" customFormat="1" ht="50.25" customHeight="1" x14ac:dyDescent="0.2">
      <c r="A2265" s="14"/>
      <c r="B2265" s="321"/>
      <c r="C2265" s="321"/>
      <c r="D2265" s="412" t="s">
        <v>905</v>
      </c>
      <c r="E2265" s="413"/>
      <c r="F2265" s="413"/>
      <c r="G2265" s="413"/>
      <c r="H2265" s="413"/>
      <c r="I2265" s="413"/>
      <c r="J2265" s="413"/>
      <c r="K2265" s="414"/>
      <c r="L2265" s="415">
        <v>349450000</v>
      </c>
      <c r="M2265" s="416"/>
      <c r="N2265" s="416"/>
      <c r="O2265" s="416"/>
      <c r="P2265" s="416"/>
      <c r="Q2265" s="416"/>
      <c r="R2265" s="417"/>
      <c r="S2265" s="321"/>
      <c r="T2265" s="321"/>
      <c r="U2265" s="321"/>
      <c r="V2265" s="23"/>
    </row>
    <row r="2266" spans="1:22" s="16" customFormat="1" ht="33.75" customHeight="1" x14ac:dyDescent="0.2">
      <c r="A2266" s="429"/>
      <c r="B2266" s="319"/>
      <c r="C2266" s="320"/>
      <c r="D2266" s="412" t="s">
        <v>906</v>
      </c>
      <c r="E2266" s="413"/>
      <c r="F2266" s="413"/>
      <c r="G2266" s="413"/>
      <c r="H2266" s="413"/>
      <c r="I2266" s="413"/>
      <c r="J2266" s="413"/>
      <c r="K2266" s="414"/>
      <c r="L2266" s="415">
        <f>'[1]5.LO'!E405</f>
        <v>0</v>
      </c>
      <c r="M2266" s="416"/>
      <c r="N2266" s="416"/>
      <c r="O2266" s="416"/>
      <c r="P2266" s="416"/>
      <c r="Q2266" s="416"/>
      <c r="R2266" s="417"/>
      <c r="S2266" s="247"/>
      <c r="T2266" s="20"/>
      <c r="U2266" s="20"/>
      <c r="V2266" s="23"/>
    </row>
    <row r="2267" spans="1:22" s="16" customFormat="1" ht="27.75" customHeight="1" x14ac:dyDescent="0.2">
      <c r="A2267" s="429"/>
      <c r="B2267" s="319"/>
      <c r="C2267" s="320"/>
      <c r="D2267" s="418" t="s">
        <v>907</v>
      </c>
      <c r="E2267" s="419"/>
      <c r="F2267" s="419"/>
      <c r="G2267" s="419"/>
      <c r="H2267" s="419"/>
      <c r="I2267" s="419"/>
      <c r="J2267" s="419"/>
      <c r="K2267" s="420"/>
      <c r="L2267" s="430">
        <f>SUM(L2265:R2266)</f>
        <v>349450000</v>
      </c>
      <c r="M2267" s="431"/>
      <c r="N2267" s="431"/>
      <c r="O2267" s="431"/>
      <c r="P2267" s="431"/>
      <c r="Q2267" s="431"/>
      <c r="R2267" s="432"/>
      <c r="S2267" s="247"/>
      <c r="T2267" s="20"/>
      <c r="U2267" s="20"/>
      <c r="V2267" s="23"/>
    </row>
    <row r="2268" spans="1:22" s="16" customFormat="1" ht="22.5" customHeight="1" x14ac:dyDescent="0.2">
      <c r="A2268" s="14"/>
      <c r="B2268" s="29"/>
      <c r="C2268" s="29"/>
      <c r="D2268" s="29"/>
      <c r="E2268" s="29"/>
      <c r="F2268" s="29"/>
      <c r="G2268" s="29"/>
      <c r="H2268" s="29"/>
      <c r="I2268" s="29"/>
      <c r="J2268" s="247"/>
      <c r="K2268" s="247"/>
      <c r="L2268" s="247"/>
      <c r="M2268" s="247"/>
      <c r="N2268" s="247"/>
      <c r="O2268" s="247"/>
      <c r="P2268" s="247"/>
      <c r="Q2268" s="247"/>
      <c r="R2268" s="247"/>
      <c r="S2268" s="247"/>
      <c r="T2268" s="20"/>
      <c r="U2268" s="20"/>
      <c r="V2268" s="23"/>
    </row>
    <row r="2269" spans="1:22" s="16" customFormat="1" ht="22.5" customHeight="1" x14ac:dyDescent="0.2">
      <c r="A2269" s="14"/>
      <c r="B2269" s="56"/>
      <c r="C2269" s="303" t="s">
        <v>908</v>
      </c>
      <c r="D2269" s="409" t="s">
        <v>909</v>
      </c>
      <c r="E2269" s="409"/>
      <c r="F2269" s="409"/>
      <c r="G2269" s="409"/>
      <c r="H2269" s="409"/>
      <c r="I2269" s="409"/>
      <c r="J2269" s="409"/>
      <c r="K2269" s="409"/>
      <c r="L2269" s="409"/>
      <c r="M2269" s="409"/>
      <c r="N2269" s="409"/>
      <c r="O2269" s="409"/>
      <c r="P2269" s="409"/>
      <c r="Q2269" s="409"/>
      <c r="R2269" s="409"/>
      <c r="S2269" s="409"/>
      <c r="T2269" s="409"/>
      <c r="U2269" s="409"/>
      <c r="V2269" s="23"/>
    </row>
    <row r="2270" spans="1:22" s="16" customFormat="1" ht="64.5" customHeight="1" x14ac:dyDescent="0.2">
      <c r="A2270" s="14"/>
      <c r="C2270" s="29"/>
      <c r="D2270" s="407" t="str">
        <f>"Jumlah Beban Penyusutan dan Amortisasi untuk Tahun "&amp;'[1]2.ISIAN DATA SKPD'!D11&amp;" dan tahun "&amp;'[1]2.ISIAN DATA SKPD'!D12&amp;" masing-masing sebesar Rp. "&amp;FIXED(J1990)&amp;" dan "&amp;FIXED(P1990)&amp;" mengalami kenaikan sebesar Rp. "&amp;FIXED(AC1990)&amp;" atau sebesar "&amp;FIXED(Y1990)&amp;"% dari tahun "&amp;'[1]2.ISIAN DATA SKPD'!D12&amp;" ."</f>
        <v>Jumlah Beban Penyusutan dan Amortisasi untuk Tahun 2018 dan tahun 2017 masing-masing sebesar Rp. 0,00 dan 222.094.161,90 mengalami kenaikan sebesar Rp. -222.094.161,90 atau sebesar -100,00% dari tahun 2017 .</v>
      </c>
      <c r="E2270" s="407"/>
      <c r="F2270" s="407"/>
      <c r="G2270" s="407"/>
      <c r="H2270" s="407"/>
      <c r="I2270" s="407"/>
      <c r="J2270" s="407"/>
      <c r="K2270" s="407"/>
      <c r="L2270" s="407"/>
      <c r="M2270" s="407"/>
      <c r="N2270" s="407"/>
      <c r="O2270" s="407"/>
      <c r="P2270" s="407"/>
      <c r="Q2270" s="407"/>
      <c r="R2270" s="407"/>
      <c r="S2270" s="407"/>
      <c r="T2270" s="407"/>
      <c r="U2270" s="407"/>
      <c r="V2270" s="23"/>
    </row>
    <row r="2271" spans="1:22" s="16" customFormat="1" ht="65.25" customHeight="1" x14ac:dyDescent="0.2">
      <c r="A2271" s="14"/>
      <c r="C2271" s="29"/>
      <c r="D2271" s="407" t="s">
        <v>910</v>
      </c>
      <c r="E2271" s="407"/>
      <c r="F2271" s="407"/>
      <c r="G2271" s="407"/>
      <c r="H2271" s="407"/>
      <c r="I2271" s="407"/>
      <c r="J2271" s="407"/>
      <c r="K2271" s="407"/>
      <c r="L2271" s="407"/>
      <c r="M2271" s="407"/>
      <c r="N2271" s="407"/>
      <c r="O2271" s="407"/>
      <c r="P2271" s="407"/>
      <c r="Q2271" s="407"/>
      <c r="R2271" s="407"/>
      <c r="S2271" s="407"/>
      <c r="T2271" s="407"/>
      <c r="U2271" s="407"/>
      <c r="V2271" s="23"/>
    </row>
    <row r="2272" spans="1:22" s="16" customFormat="1" ht="66.75" customHeight="1" x14ac:dyDescent="0.2">
      <c r="A2272" s="14"/>
      <c r="C2272" s="29"/>
      <c r="D2272" s="407" t="str">
        <f>"Sedangkan Beban Amortisasi digunakan untuk mencatat alokasi penurunan manfaat ekonomi untuk Aset Tak berwujud. Rincian Beban Penyusutan dan Amortisasi untuk tahun "&amp;'[1]2.ISIAN DATA SKPD'!D11&amp;" adalah sebagai berikut: "</f>
        <v xml:space="preserve">Sedangkan Beban Amortisasi digunakan untuk mencatat alokasi penurunan manfaat ekonomi untuk Aset Tak berwujud. Rincian Beban Penyusutan dan Amortisasi untuk tahun 2018 adalah sebagai berikut: </v>
      </c>
      <c r="E2272" s="407"/>
      <c r="F2272" s="407"/>
      <c r="G2272" s="407"/>
      <c r="H2272" s="407"/>
      <c r="I2272" s="407"/>
      <c r="J2272" s="407"/>
      <c r="K2272" s="407"/>
      <c r="L2272" s="407"/>
      <c r="M2272" s="407"/>
      <c r="N2272" s="407"/>
      <c r="O2272" s="407"/>
      <c r="P2272" s="407"/>
      <c r="Q2272" s="407"/>
      <c r="R2272" s="407"/>
      <c r="S2272" s="407"/>
      <c r="T2272" s="407"/>
      <c r="U2272" s="407"/>
      <c r="V2272" s="23"/>
    </row>
    <row r="2273" spans="1:22" s="16" customFormat="1" ht="24.75" customHeight="1" x14ac:dyDescent="0.2">
      <c r="A2273" s="14"/>
      <c r="C2273" s="316"/>
      <c r="D2273" s="410" t="str">
        <f>"Rincian Beban Penyusutan dan Amortisasi Tahun "&amp;'[1]2.ISIAN DATA SKPD'!D11&amp;""</f>
        <v>Rincian Beban Penyusutan dan Amortisasi Tahun 2018</v>
      </c>
      <c r="E2273" s="410"/>
      <c r="F2273" s="410"/>
      <c r="G2273" s="410"/>
      <c r="H2273" s="410"/>
      <c r="I2273" s="410"/>
      <c r="J2273" s="410"/>
      <c r="K2273" s="410"/>
      <c r="L2273" s="410"/>
      <c r="M2273" s="410"/>
      <c r="N2273" s="410"/>
      <c r="O2273" s="410"/>
      <c r="P2273" s="410"/>
      <c r="Q2273" s="410"/>
      <c r="R2273" s="410"/>
      <c r="S2273" s="410"/>
      <c r="T2273" s="410"/>
      <c r="U2273" s="410"/>
      <c r="V2273" s="23"/>
    </row>
    <row r="2274" spans="1:22" s="16" customFormat="1" ht="22.5" customHeight="1" x14ac:dyDescent="0.2">
      <c r="A2274" s="14"/>
      <c r="B2274" s="304"/>
      <c r="C2274" s="304"/>
      <c r="D2274" s="425" t="s">
        <v>125</v>
      </c>
      <c r="E2274" s="426"/>
      <c r="F2274" s="426"/>
      <c r="G2274" s="426"/>
      <c r="H2274" s="426"/>
      <c r="I2274" s="426"/>
      <c r="J2274" s="426"/>
      <c r="K2274" s="427"/>
      <c r="L2274" s="428" t="s">
        <v>205</v>
      </c>
      <c r="M2274" s="428"/>
      <c r="N2274" s="428"/>
      <c r="O2274" s="428"/>
      <c r="P2274" s="428"/>
      <c r="Q2274" s="428"/>
      <c r="R2274" s="428"/>
      <c r="S2274" s="304"/>
      <c r="T2274" s="317"/>
      <c r="U2274" s="317"/>
      <c r="V2274" s="23"/>
    </row>
    <row r="2275" spans="1:22" s="16" customFormat="1" ht="34.5" customHeight="1" x14ac:dyDescent="0.2">
      <c r="A2275" s="14"/>
      <c r="B2275" s="319"/>
      <c r="C2275" s="320"/>
      <c r="D2275" s="412" t="s">
        <v>911</v>
      </c>
      <c r="E2275" s="413"/>
      <c r="F2275" s="413"/>
      <c r="G2275" s="413"/>
      <c r="H2275" s="413"/>
      <c r="I2275" s="413"/>
      <c r="J2275" s="413"/>
      <c r="K2275" s="414"/>
      <c r="L2275" s="415">
        <f>'[1]5.LO'!E411</f>
        <v>0</v>
      </c>
      <c r="M2275" s="416"/>
      <c r="N2275" s="416"/>
      <c r="O2275" s="416"/>
      <c r="P2275" s="416"/>
      <c r="Q2275" s="416"/>
      <c r="R2275" s="417"/>
      <c r="S2275" s="312"/>
      <c r="T2275" s="20"/>
      <c r="U2275" s="20"/>
      <c r="V2275" s="23"/>
    </row>
    <row r="2276" spans="1:22" s="16" customFormat="1" ht="42" customHeight="1" x14ac:dyDescent="0.2">
      <c r="A2276" s="14"/>
      <c r="B2276" s="319"/>
      <c r="C2276" s="320"/>
      <c r="D2276" s="412" t="s">
        <v>912</v>
      </c>
      <c r="E2276" s="413"/>
      <c r="F2276" s="413"/>
      <c r="G2276" s="413"/>
      <c r="H2276" s="413"/>
      <c r="I2276" s="413"/>
      <c r="J2276" s="413"/>
      <c r="K2276" s="414"/>
      <c r="L2276" s="415">
        <f>'[1]5.LO'!E412</f>
        <v>0</v>
      </c>
      <c r="M2276" s="416"/>
      <c r="N2276" s="416"/>
      <c r="O2276" s="416"/>
      <c r="P2276" s="416"/>
      <c r="Q2276" s="416"/>
      <c r="R2276" s="417"/>
      <c r="S2276" s="312"/>
      <c r="T2276" s="20"/>
      <c r="U2276" s="20"/>
      <c r="V2276" s="23"/>
    </row>
    <row r="2277" spans="1:22" s="16" customFormat="1" ht="32.25" customHeight="1" x14ac:dyDescent="0.2">
      <c r="A2277" s="14"/>
      <c r="B2277" s="319"/>
      <c r="C2277" s="320"/>
      <c r="D2277" s="412" t="s">
        <v>913</v>
      </c>
      <c r="E2277" s="413"/>
      <c r="F2277" s="413"/>
      <c r="G2277" s="413"/>
      <c r="H2277" s="413"/>
      <c r="I2277" s="413"/>
      <c r="J2277" s="413"/>
      <c r="K2277" s="414"/>
      <c r="L2277" s="415">
        <f>'[1]5.LO'!E413</f>
        <v>0</v>
      </c>
      <c r="M2277" s="416"/>
      <c r="N2277" s="416"/>
      <c r="O2277" s="416"/>
      <c r="P2277" s="416"/>
      <c r="Q2277" s="416"/>
      <c r="R2277" s="417"/>
      <c r="S2277" s="312"/>
      <c r="T2277" s="20"/>
      <c r="U2277" s="20"/>
      <c r="V2277" s="23"/>
    </row>
    <row r="2278" spans="1:22" s="16" customFormat="1" ht="33" customHeight="1" x14ac:dyDescent="0.2">
      <c r="A2278" s="14"/>
      <c r="B2278" s="319"/>
      <c r="C2278" s="320"/>
      <c r="D2278" s="412" t="s">
        <v>914</v>
      </c>
      <c r="E2278" s="413"/>
      <c r="F2278" s="413"/>
      <c r="G2278" s="413"/>
      <c r="H2278" s="413"/>
      <c r="I2278" s="413"/>
      <c r="J2278" s="413"/>
      <c r="K2278" s="414"/>
      <c r="L2278" s="415">
        <f>'[1]5.LO'!E414</f>
        <v>0</v>
      </c>
      <c r="M2278" s="416"/>
      <c r="N2278" s="416"/>
      <c r="O2278" s="416"/>
      <c r="P2278" s="416"/>
      <c r="Q2278" s="416"/>
      <c r="R2278" s="417"/>
      <c r="S2278" s="312"/>
      <c r="T2278" s="20"/>
      <c r="U2278" s="20"/>
      <c r="V2278" s="23"/>
    </row>
    <row r="2279" spans="1:22" s="16" customFormat="1" ht="30" customHeight="1" x14ac:dyDescent="0.2">
      <c r="A2279" s="21"/>
      <c r="B2279" s="319"/>
      <c r="C2279" s="320"/>
      <c r="D2279" s="418" t="s">
        <v>915</v>
      </c>
      <c r="E2279" s="419"/>
      <c r="F2279" s="419"/>
      <c r="G2279" s="419"/>
      <c r="H2279" s="419"/>
      <c r="I2279" s="419"/>
      <c r="J2279" s="419"/>
      <c r="K2279" s="420"/>
      <c r="L2279" s="430">
        <f>SUM(L2275:R2278)</f>
        <v>0</v>
      </c>
      <c r="M2279" s="431"/>
      <c r="N2279" s="431"/>
      <c r="O2279" s="431"/>
      <c r="P2279" s="431"/>
      <c r="Q2279" s="431"/>
      <c r="R2279" s="432"/>
      <c r="S2279" s="312"/>
      <c r="T2279" s="20"/>
      <c r="U2279" s="20"/>
      <c r="V2279" s="23"/>
    </row>
    <row r="2280" spans="1:22" s="16" customFormat="1" ht="15.75" customHeight="1" x14ac:dyDescent="0.2">
      <c r="A2280" s="21"/>
      <c r="B2280" s="319"/>
      <c r="C2280" s="320"/>
      <c r="D2280" s="322"/>
      <c r="E2280" s="322"/>
      <c r="F2280" s="322"/>
      <c r="G2280" s="322"/>
      <c r="H2280" s="322"/>
      <c r="I2280" s="322"/>
      <c r="J2280" s="322"/>
      <c r="K2280" s="322"/>
      <c r="L2280" s="125"/>
      <c r="M2280" s="125"/>
      <c r="N2280" s="125"/>
      <c r="O2280" s="125"/>
      <c r="P2280" s="125"/>
      <c r="Q2280" s="125"/>
      <c r="R2280" s="125"/>
      <c r="S2280" s="312"/>
      <c r="T2280" s="20"/>
      <c r="U2280" s="20"/>
      <c r="V2280" s="23"/>
    </row>
    <row r="2281" spans="1:22" s="16" customFormat="1" ht="19.5" customHeight="1" x14ac:dyDescent="0.2">
      <c r="A2281" s="14"/>
      <c r="B2281" s="56"/>
      <c r="C2281" s="303" t="s">
        <v>916</v>
      </c>
      <c r="D2281" s="409" t="s">
        <v>681</v>
      </c>
      <c r="E2281" s="409"/>
      <c r="F2281" s="409"/>
      <c r="G2281" s="409"/>
      <c r="H2281" s="409"/>
      <c r="I2281" s="409"/>
      <c r="J2281" s="409"/>
      <c r="K2281" s="409"/>
      <c r="L2281" s="409"/>
      <c r="M2281" s="409"/>
      <c r="N2281" s="409"/>
      <c r="O2281" s="409"/>
      <c r="P2281" s="409"/>
      <c r="Q2281" s="409"/>
      <c r="R2281" s="409"/>
      <c r="S2281" s="409"/>
      <c r="T2281" s="409"/>
      <c r="U2281" s="409"/>
      <c r="V2281" s="23"/>
    </row>
    <row r="2282" spans="1:22" s="16" customFormat="1" ht="68.25" customHeight="1" x14ac:dyDescent="0.2">
      <c r="A2282" s="14"/>
      <c r="C2282" s="29"/>
      <c r="D2282" s="407" t="s">
        <v>917</v>
      </c>
      <c r="E2282" s="407"/>
      <c r="F2282" s="407"/>
      <c r="G2282" s="407"/>
      <c r="H2282" s="407"/>
      <c r="I2282" s="407"/>
      <c r="J2282" s="407"/>
      <c r="K2282" s="407"/>
      <c r="L2282" s="407"/>
      <c r="M2282" s="407"/>
      <c r="N2282" s="407"/>
      <c r="O2282" s="407"/>
      <c r="P2282" s="407"/>
      <c r="Q2282" s="407"/>
      <c r="R2282" s="407"/>
      <c r="S2282" s="407"/>
      <c r="T2282" s="407"/>
      <c r="U2282" s="407"/>
      <c r="V2282" s="23"/>
    </row>
    <row r="2283" spans="1:22" s="16" customFormat="1" ht="35.25" customHeight="1" x14ac:dyDescent="0.2">
      <c r="A2283" s="14"/>
      <c r="C2283" s="29"/>
      <c r="D2283" s="77"/>
      <c r="E2283" s="77"/>
      <c r="F2283" s="77"/>
      <c r="G2283" s="77"/>
      <c r="H2283" s="77"/>
      <c r="I2283" s="77"/>
      <c r="J2283" s="77"/>
      <c r="K2283" s="77"/>
      <c r="L2283" s="77"/>
      <c r="M2283" s="77"/>
      <c r="N2283" s="77"/>
      <c r="O2283" s="77"/>
      <c r="P2283" s="77"/>
      <c r="Q2283" s="77"/>
      <c r="R2283" s="77"/>
      <c r="S2283" s="77"/>
      <c r="T2283" s="77"/>
      <c r="U2283" s="77"/>
      <c r="V2283" s="23"/>
    </row>
    <row r="2284" spans="1:22" s="16" customFormat="1" ht="23.25" customHeight="1" x14ac:dyDescent="0.2">
      <c r="A2284" s="14"/>
      <c r="C2284" s="316"/>
      <c r="D2284" s="424" t="str">
        <f>"Rincian Beban  Transfer  Tahun "&amp;'[1]2.ISIAN DATA SKPD'!D11&amp;""</f>
        <v>Rincian Beban  Transfer  Tahun 2018</v>
      </c>
      <c r="E2284" s="424"/>
      <c r="F2284" s="424"/>
      <c r="G2284" s="424"/>
      <c r="H2284" s="424"/>
      <c r="I2284" s="424"/>
      <c r="J2284" s="424"/>
      <c r="K2284" s="424"/>
      <c r="L2284" s="424"/>
      <c r="M2284" s="424"/>
      <c r="N2284" s="424"/>
      <c r="O2284" s="424"/>
      <c r="P2284" s="424"/>
      <c r="Q2284" s="424"/>
      <c r="R2284" s="424"/>
      <c r="S2284" s="316"/>
      <c r="T2284" s="316"/>
      <c r="U2284" s="316"/>
      <c r="V2284" s="23"/>
    </row>
    <row r="2285" spans="1:22" s="16" customFormat="1" ht="15.75" customHeight="1" x14ac:dyDescent="0.2">
      <c r="A2285" s="14"/>
      <c r="C2285" s="316"/>
      <c r="D2285" s="425" t="s">
        <v>125</v>
      </c>
      <c r="E2285" s="426"/>
      <c r="F2285" s="426"/>
      <c r="G2285" s="426"/>
      <c r="H2285" s="426"/>
      <c r="I2285" s="426"/>
      <c r="J2285" s="426"/>
      <c r="K2285" s="427"/>
      <c r="L2285" s="428" t="s">
        <v>205</v>
      </c>
      <c r="M2285" s="428"/>
      <c r="N2285" s="428"/>
      <c r="O2285" s="428"/>
      <c r="P2285" s="428"/>
      <c r="Q2285" s="428"/>
      <c r="R2285" s="428"/>
      <c r="S2285" s="316"/>
      <c r="T2285" s="316"/>
      <c r="U2285" s="316"/>
      <c r="V2285" s="23"/>
    </row>
    <row r="2286" spans="1:22" s="16" customFormat="1" ht="47.25" customHeight="1" x14ac:dyDescent="0.2">
      <c r="A2286" s="14"/>
      <c r="B2286" s="304"/>
      <c r="C2286" s="304"/>
      <c r="D2286" s="412" t="s">
        <v>918</v>
      </c>
      <c r="E2286" s="413"/>
      <c r="F2286" s="413"/>
      <c r="G2286" s="413"/>
      <c r="H2286" s="413"/>
      <c r="I2286" s="413"/>
      <c r="J2286" s="413"/>
      <c r="K2286" s="414"/>
      <c r="L2286" s="415">
        <f>'[1]5.LO'!E416</f>
        <v>0</v>
      </c>
      <c r="M2286" s="416"/>
      <c r="N2286" s="416"/>
      <c r="O2286" s="416"/>
      <c r="P2286" s="416"/>
      <c r="Q2286" s="416"/>
      <c r="R2286" s="417"/>
      <c r="S2286" s="304"/>
      <c r="T2286" s="317"/>
      <c r="U2286" s="317"/>
      <c r="V2286" s="23"/>
    </row>
    <row r="2287" spans="1:22" s="16" customFormat="1" ht="51" customHeight="1" x14ac:dyDescent="0.2">
      <c r="A2287" s="14"/>
      <c r="B2287" s="319"/>
      <c r="C2287" s="320"/>
      <c r="D2287" s="412" t="s">
        <v>919</v>
      </c>
      <c r="E2287" s="413"/>
      <c r="F2287" s="413"/>
      <c r="G2287" s="413"/>
      <c r="H2287" s="413"/>
      <c r="I2287" s="413"/>
      <c r="J2287" s="413"/>
      <c r="K2287" s="414"/>
      <c r="L2287" s="415">
        <f>'[1]5.LO'!E418</f>
        <v>0</v>
      </c>
      <c r="M2287" s="416"/>
      <c r="N2287" s="416"/>
      <c r="O2287" s="416"/>
      <c r="P2287" s="416"/>
      <c r="Q2287" s="416"/>
      <c r="R2287" s="417"/>
      <c r="S2287" s="312"/>
      <c r="T2287" s="20"/>
      <c r="U2287" s="20"/>
      <c r="V2287" s="23"/>
    </row>
    <row r="2288" spans="1:22" s="16" customFormat="1" ht="30.75" customHeight="1" x14ac:dyDescent="0.2">
      <c r="A2288" s="14"/>
      <c r="B2288" s="319"/>
      <c r="C2288" s="320"/>
      <c r="D2288" s="412" t="s">
        <v>920</v>
      </c>
      <c r="E2288" s="413"/>
      <c r="F2288" s="413"/>
      <c r="G2288" s="413"/>
      <c r="H2288" s="413"/>
      <c r="I2288" s="413"/>
      <c r="J2288" s="413"/>
      <c r="K2288" s="414"/>
      <c r="L2288" s="415">
        <f>'[1]5.LO'!E420</f>
        <v>0</v>
      </c>
      <c r="M2288" s="416"/>
      <c r="N2288" s="416"/>
      <c r="O2288" s="416"/>
      <c r="P2288" s="416"/>
      <c r="Q2288" s="416"/>
      <c r="R2288" s="417"/>
      <c r="S2288" s="312"/>
      <c r="T2288" s="20"/>
      <c r="U2288" s="20"/>
      <c r="V2288" s="23"/>
    </row>
    <row r="2289" spans="1:25" s="16" customFormat="1" ht="41.25" customHeight="1" x14ac:dyDescent="0.2">
      <c r="A2289" s="14"/>
      <c r="B2289" s="29"/>
      <c r="C2289" s="29"/>
      <c r="D2289" s="412" t="s">
        <v>921</v>
      </c>
      <c r="E2289" s="413"/>
      <c r="F2289" s="413"/>
      <c r="G2289" s="413"/>
      <c r="H2289" s="413"/>
      <c r="I2289" s="413"/>
      <c r="J2289" s="413"/>
      <c r="K2289" s="414"/>
      <c r="L2289" s="415">
        <f>'[1]5.LO'!E425</f>
        <v>0</v>
      </c>
      <c r="M2289" s="416"/>
      <c r="N2289" s="416"/>
      <c r="O2289" s="416"/>
      <c r="P2289" s="416"/>
      <c r="Q2289" s="416"/>
      <c r="R2289" s="417"/>
      <c r="S2289" s="312"/>
      <c r="T2289" s="20"/>
      <c r="U2289" s="20"/>
      <c r="V2289" s="23"/>
    </row>
    <row r="2290" spans="1:25" s="16" customFormat="1" ht="30" customHeight="1" x14ac:dyDescent="0.2">
      <c r="A2290" s="429"/>
      <c r="B2290" s="23"/>
      <c r="C2290" s="23"/>
      <c r="D2290" s="418" t="s">
        <v>922</v>
      </c>
      <c r="E2290" s="419"/>
      <c r="F2290" s="419"/>
      <c r="G2290" s="419"/>
      <c r="H2290" s="419"/>
      <c r="I2290" s="419"/>
      <c r="J2290" s="419"/>
      <c r="K2290" s="420"/>
      <c r="L2290" s="430">
        <f>SUM(L2286:R2289)</f>
        <v>0</v>
      </c>
      <c r="M2290" s="431"/>
      <c r="N2290" s="431"/>
      <c r="O2290" s="431"/>
      <c r="P2290" s="431"/>
      <c r="Q2290" s="431"/>
      <c r="R2290" s="432"/>
      <c r="S2290" s="23"/>
      <c r="T2290" s="35"/>
      <c r="U2290" s="35"/>
      <c r="V2290" s="23"/>
    </row>
    <row r="2291" spans="1:25" s="16" customFormat="1" ht="20.25" customHeight="1" x14ac:dyDescent="0.2">
      <c r="A2291" s="429"/>
      <c r="B2291" s="23"/>
      <c r="C2291" s="23"/>
      <c r="D2291" s="23"/>
      <c r="E2291" s="23"/>
      <c r="F2291" s="23"/>
      <c r="G2291" s="23"/>
      <c r="H2291" s="23"/>
      <c r="I2291" s="23"/>
      <c r="J2291" s="23"/>
      <c r="K2291" s="23"/>
      <c r="L2291" s="23"/>
      <c r="M2291" s="23"/>
      <c r="N2291" s="23"/>
      <c r="O2291" s="23"/>
      <c r="P2291" s="23"/>
      <c r="Q2291" s="23"/>
      <c r="R2291" s="23"/>
      <c r="S2291" s="23"/>
      <c r="T2291" s="35"/>
      <c r="U2291" s="35"/>
      <c r="V2291" s="23"/>
    </row>
    <row r="2292" spans="1:25" s="16" customFormat="1" ht="30" customHeight="1" x14ac:dyDescent="0.2">
      <c r="A2292" s="429"/>
      <c r="B2292" s="23"/>
      <c r="C2292" s="303" t="s">
        <v>923</v>
      </c>
      <c r="D2292" s="409" t="s">
        <v>924</v>
      </c>
      <c r="E2292" s="409"/>
      <c r="F2292" s="409"/>
      <c r="G2292" s="409"/>
      <c r="H2292" s="409"/>
      <c r="I2292" s="409"/>
      <c r="J2292" s="409"/>
      <c r="K2292" s="409"/>
      <c r="L2292" s="409"/>
      <c r="M2292" s="409"/>
      <c r="N2292" s="409"/>
      <c r="O2292" s="409"/>
      <c r="P2292" s="409"/>
      <c r="Q2292" s="409"/>
      <c r="R2292" s="409"/>
      <c r="S2292" s="409"/>
      <c r="T2292" s="409"/>
      <c r="U2292" s="409"/>
      <c r="V2292" s="23"/>
    </row>
    <row r="2293" spans="1:25" s="16" customFormat="1" ht="37.5" customHeight="1" x14ac:dyDescent="0.2">
      <c r="A2293" s="21"/>
      <c r="B2293" s="23"/>
      <c r="C2293" s="303"/>
      <c r="D2293" s="407" t="str">
        <f>"Jumlah Beban Lain-Lain untuk Tahun "&amp;'[1]2.ISIAN DATA SKPD'!D11&amp;" dan tahun "&amp;'[1]2.ISIAN DATA SKPD'!D12&amp;" masing-masing sebesar Rp. "&amp;FIXED(J1992)&amp;"0"</f>
        <v>Jumlah Beban Lain-Lain untuk Tahun 2018 dan tahun 2017 masing-masing sebesar Rp. 0,000</v>
      </c>
      <c r="E2293" s="407"/>
      <c r="F2293" s="407"/>
      <c r="G2293" s="407"/>
      <c r="H2293" s="407"/>
      <c r="I2293" s="407"/>
      <c r="J2293" s="407"/>
      <c r="K2293" s="407"/>
      <c r="L2293" s="407"/>
      <c r="M2293" s="407"/>
      <c r="N2293" s="407"/>
      <c r="O2293" s="407"/>
      <c r="P2293" s="407"/>
      <c r="Q2293" s="407"/>
      <c r="R2293" s="407"/>
      <c r="S2293" s="407"/>
      <c r="T2293" s="407"/>
      <c r="U2293" s="407"/>
      <c r="V2293" s="23"/>
      <c r="Y2293" s="323"/>
    </row>
    <row r="2294" spans="1:25" s="16" customFormat="1" ht="96.75" customHeight="1" x14ac:dyDescent="0.2">
      <c r="A2294" s="21"/>
      <c r="B2294" s="23"/>
      <c r="C2294" s="303"/>
      <c r="D2294" s="408" t="s">
        <v>925</v>
      </c>
      <c r="E2294" s="408"/>
      <c r="F2294" s="408"/>
      <c r="G2294" s="408"/>
      <c r="H2294" s="408"/>
      <c r="I2294" s="408"/>
      <c r="J2294" s="408"/>
      <c r="K2294" s="408"/>
      <c r="L2294" s="408"/>
      <c r="M2294" s="408"/>
      <c r="N2294" s="408"/>
      <c r="O2294" s="408"/>
      <c r="P2294" s="408"/>
      <c r="Q2294" s="408"/>
      <c r="R2294" s="408"/>
      <c r="S2294" s="408"/>
      <c r="T2294" s="408"/>
      <c r="U2294" s="408"/>
      <c r="V2294" s="23"/>
      <c r="Y2294" s="323"/>
    </row>
    <row r="2295" spans="1:25" s="16" customFormat="1" ht="30.75" customHeight="1" x14ac:dyDescent="0.2">
      <c r="A2295" s="21"/>
      <c r="B2295" s="23"/>
      <c r="C2295" s="303"/>
      <c r="D2295" s="424" t="str">
        <f>"Rincian Beban  Lain-Lain Tahun "&amp;'[1]2.ISIAN DATA SKPD'!D11&amp;""</f>
        <v>Rincian Beban  Lain-Lain Tahun 2018</v>
      </c>
      <c r="E2295" s="424"/>
      <c r="F2295" s="424"/>
      <c r="G2295" s="424"/>
      <c r="H2295" s="424"/>
      <c r="I2295" s="424"/>
      <c r="J2295" s="424"/>
      <c r="K2295" s="424"/>
      <c r="L2295" s="424"/>
      <c r="M2295" s="424"/>
      <c r="N2295" s="424"/>
      <c r="O2295" s="424"/>
      <c r="P2295" s="424"/>
      <c r="Q2295" s="424"/>
      <c r="R2295" s="424"/>
      <c r="S2295" s="77"/>
      <c r="T2295" s="77"/>
      <c r="U2295" s="77"/>
      <c r="V2295" s="23"/>
      <c r="Y2295" s="323"/>
    </row>
    <row r="2296" spans="1:25" s="16" customFormat="1" ht="21.75" customHeight="1" x14ac:dyDescent="0.2">
      <c r="A2296" s="21"/>
      <c r="B2296" s="23"/>
      <c r="C2296" s="303"/>
      <c r="D2296" s="425" t="s">
        <v>926</v>
      </c>
      <c r="E2296" s="426"/>
      <c r="F2296" s="426"/>
      <c r="G2296" s="426"/>
      <c r="H2296" s="426"/>
      <c r="I2296" s="426"/>
      <c r="J2296" s="426"/>
      <c r="K2296" s="427"/>
      <c r="L2296" s="428" t="s">
        <v>205</v>
      </c>
      <c r="M2296" s="428"/>
      <c r="N2296" s="428"/>
      <c r="O2296" s="428"/>
      <c r="P2296" s="428"/>
      <c r="Q2296" s="428"/>
      <c r="R2296" s="428"/>
      <c r="S2296" s="324"/>
      <c r="T2296" s="324"/>
      <c r="U2296" s="324"/>
      <c r="V2296" s="23"/>
      <c r="Y2296" s="323"/>
    </row>
    <row r="2297" spans="1:25" s="16" customFormat="1" ht="34.5" customHeight="1" x14ac:dyDescent="0.2">
      <c r="A2297" s="21"/>
      <c r="B2297" s="23"/>
      <c r="C2297" s="303"/>
      <c r="D2297" s="412" t="s">
        <v>927</v>
      </c>
      <c r="E2297" s="413"/>
      <c r="F2297" s="413"/>
      <c r="G2297" s="413"/>
      <c r="H2297" s="413"/>
      <c r="I2297" s="413"/>
      <c r="J2297" s="413"/>
      <c r="K2297" s="414"/>
      <c r="L2297" s="415">
        <f>'[1]5.LO'!E437</f>
        <v>0</v>
      </c>
      <c r="M2297" s="416"/>
      <c r="N2297" s="416"/>
      <c r="O2297" s="416"/>
      <c r="P2297" s="416"/>
      <c r="Q2297" s="416"/>
      <c r="R2297" s="417"/>
      <c r="S2297" s="324"/>
      <c r="T2297" s="324"/>
      <c r="U2297" s="324"/>
      <c r="V2297" s="23"/>
      <c r="Y2297" s="323"/>
    </row>
    <row r="2298" spans="1:25" s="16" customFormat="1" ht="21.75" customHeight="1" x14ac:dyDescent="0.2">
      <c r="A2298" s="21"/>
      <c r="B2298" s="23"/>
      <c r="C2298" s="303"/>
      <c r="D2298" s="412" t="s">
        <v>928</v>
      </c>
      <c r="E2298" s="413"/>
      <c r="F2298" s="413"/>
      <c r="G2298" s="413"/>
      <c r="H2298" s="413"/>
      <c r="I2298" s="413"/>
      <c r="J2298" s="413"/>
      <c r="K2298" s="414"/>
      <c r="L2298" s="415">
        <f>'[1]5.LO'!E438</f>
        <v>0</v>
      </c>
      <c r="M2298" s="416"/>
      <c r="N2298" s="416"/>
      <c r="O2298" s="416"/>
      <c r="P2298" s="416"/>
      <c r="Q2298" s="416"/>
      <c r="R2298" s="417"/>
      <c r="S2298" s="324"/>
      <c r="T2298" s="324"/>
      <c r="U2298" s="324"/>
      <c r="V2298" s="23"/>
      <c r="Y2298" s="323"/>
    </row>
    <row r="2299" spans="1:25" s="16" customFormat="1" ht="21" customHeight="1" x14ac:dyDescent="0.2">
      <c r="A2299" s="21"/>
      <c r="B2299" s="23"/>
      <c r="C2299" s="303"/>
      <c r="D2299" s="418" t="s">
        <v>922</v>
      </c>
      <c r="E2299" s="419"/>
      <c r="F2299" s="419"/>
      <c r="G2299" s="419"/>
      <c r="H2299" s="419"/>
      <c r="I2299" s="419"/>
      <c r="J2299" s="419"/>
      <c r="K2299" s="420"/>
      <c r="L2299" s="421">
        <f>L2297</f>
        <v>0</v>
      </c>
      <c r="M2299" s="422"/>
      <c r="N2299" s="422"/>
      <c r="O2299" s="422"/>
      <c r="P2299" s="422"/>
      <c r="Q2299" s="422"/>
      <c r="R2299" s="423"/>
      <c r="S2299" s="324"/>
      <c r="T2299" s="324"/>
      <c r="U2299" s="324"/>
      <c r="V2299" s="23"/>
    </row>
    <row r="2300" spans="1:25" s="16" customFormat="1" ht="22.5" customHeight="1" x14ac:dyDescent="0.2">
      <c r="A2300" s="21"/>
      <c r="B2300" s="23"/>
      <c r="C2300" s="303"/>
      <c r="D2300" s="407"/>
      <c r="E2300" s="407"/>
      <c r="F2300" s="407"/>
      <c r="G2300" s="407"/>
      <c r="H2300" s="407"/>
      <c r="I2300" s="407"/>
      <c r="J2300" s="407"/>
      <c r="K2300" s="407"/>
      <c r="L2300" s="407"/>
      <c r="M2300" s="407"/>
      <c r="N2300" s="407"/>
      <c r="O2300" s="407"/>
      <c r="P2300" s="407"/>
      <c r="Q2300" s="407"/>
      <c r="R2300" s="407"/>
      <c r="S2300" s="407"/>
      <c r="T2300" s="407"/>
      <c r="U2300" s="407"/>
      <c r="V2300" s="23"/>
    </row>
    <row r="2301" spans="1:25" s="16" customFormat="1" ht="21" customHeight="1" x14ac:dyDescent="0.2">
      <c r="A2301" s="21"/>
      <c r="B2301" s="54" t="s">
        <v>929</v>
      </c>
      <c r="C2301" s="303"/>
      <c r="D2301" s="322"/>
      <c r="E2301" s="322"/>
      <c r="F2301" s="322"/>
      <c r="G2301" s="322"/>
      <c r="H2301" s="322"/>
      <c r="I2301" s="322"/>
      <c r="J2301" s="322"/>
      <c r="K2301" s="322"/>
      <c r="L2301" s="125"/>
      <c r="M2301" s="125"/>
      <c r="N2301" s="125"/>
      <c r="O2301" s="125"/>
      <c r="P2301" s="125"/>
      <c r="Q2301" s="125"/>
      <c r="R2301" s="125"/>
      <c r="S2301" s="324"/>
      <c r="T2301" s="324"/>
      <c r="U2301" s="324"/>
      <c r="V2301" s="23"/>
    </row>
    <row r="2302" spans="1:25" s="16" customFormat="1" ht="42" customHeight="1" x14ac:dyDescent="0.2">
      <c r="A2302" s="21"/>
      <c r="B2302" s="23"/>
      <c r="C2302" s="410" t="str">
        <f>"Pada tahun anggaran "&amp;'[1]2.ISIAN DATA SKPD'!D11&amp;" "&amp;'[1]2.ISIAN DATA SKPD'!D2&amp;" tidak terdapat surplus/defisit Non Operasional"</f>
        <v>Pada tahun anggaran 2018 Dinas Pariwisata Dan Kebudayaan tidak terdapat surplus/defisit Non Operasional</v>
      </c>
      <c r="D2302" s="410"/>
      <c r="E2302" s="410"/>
      <c r="F2302" s="410"/>
      <c r="G2302" s="410"/>
      <c r="H2302" s="410"/>
      <c r="I2302" s="410"/>
      <c r="J2302" s="410"/>
      <c r="K2302" s="410"/>
      <c r="L2302" s="410"/>
      <c r="M2302" s="410"/>
      <c r="N2302" s="410"/>
      <c r="O2302" s="410"/>
      <c r="P2302" s="410"/>
      <c r="Q2302" s="410"/>
      <c r="R2302" s="410"/>
      <c r="S2302" s="410"/>
      <c r="T2302" s="410"/>
      <c r="U2302" s="410"/>
      <c r="V2302" s="23"/>
    </row>
    <row r="2303" spans="1:25" s="16" customFormat="1" ht="42" customHeight="1" x14ac:dyDescent="0.2">
      <c r="A2303" s="21"/>
      <c r="B2303" s="23"/>
      <c r="C2303" s="131"/>
      <c r="D2303" s="131"/>
      <c r="E2303" s="131"/>
      <c r="F2303" s="131"/>
      <c r="G2303" s="131"/>
      <c r="H2303" s="131"/>
      <c r="I2303" s="131"/>
      <c r="J2303" s="131"/>
      <c r="K2303" s="131"/>
      <c r="L2303" s="131"/>
      <c r="M2303" s="131"/>
      <c r="N2303" s="131"/>
      <c r="O2303" s="131"/>
      <c r="P2303" s="131"/>
      <c r="Q2303" s="131"/>
      <c r="R2303" s="131"/>
      <c r="S2303" s="131"/>
      <c r="T2303" s="131"/>
      <c r="U2303" s="131"/>
      <c r="V2303" s="23"/>
    </row>
    <row r="2304" spans="1:25" s="16" customFormat="1" ht="42" customHeight="1" x14ac:dyDescent="0.2">
      <c r="A2304" s="21"/>
      <c r="B2304" s="23"/>
      <c r="C2304" s="131"/>
      <c r="D2304" s="131"/>
      <c r="E2304" s="131"/>
      <c r="F2304" s="131"/>
      <c r="G2304" s="131"/>
      <c r="H2304" s="131"/>
      <c r="I2304" s="131"/>
      <c r="J2304" s="131"/>
      <c r="K2304" s="131"/>
      <c r="L2304" s="131"/>
      <c r="M2304" s="131"/>
      <c r="N2304" s="131"/>
      <c r="O2304" s="131"/>
      <c r="P2304" s="131"/>
      <c r="Q2304" s="131"/>
      <c r="R2304" s="131"/>
      <c r="S2304" s="131"/>
      <c r="T2304" s="131"/>
      <c r="U2304" s="131"/>
      <c r="V2304" s="23"/>
    </row>
    <row r="2305" spans="1:29" s="16" customFormat="1" ht="42" customHeight="1" x14ac:dyDescent="0.2">
      <c r="A2305" s="21"/>
      <c r="B2305" s="23"/>
      <c r="C2305" s="131"/>
      <c r="D2305" s="131"/>
      <c r="E2305" s="131"/>
      <c r="F2305" s="131"/>
      <c r="G2305" s="131"/>
      <c r="H2305" s="131"/>
      <c r="I2305" s="131"/>
      <c r="J2305" s="131"/>
      <c r="K2305" s="131"/>
      <c r="L2305" s="131"/>
      <c r="M2305" s="131"/>
      <c r="N2305" s="131"/>
      <c r="O2305" s="131"/>
      <c r="P2305" s="131"/>
      <c r="Q2305" s="131"/>
      <c r="R2305" s="131"/>
      <c r="S2305" s="131"/>
      <c r="T2305" s="131"/>
      <c r="U2305" s="131"/>
      <c r="V2305" s="23"/>
    </row>
    <row r="2306" spans="1:29" s="16" customFormat="1" ht="16.5" customHeight="1" x14ac:dyDescent="0.2">
      <c r="A2306" s="21"/>
      <c r="B2306" s="23"/>
      <c r="C2306" s="303"/>
      <c r="D2306" s="322"/>
      <c r="E2306" s="322"/>
      <c r="F2306" s="322"/>
      <c r="G2306" s="322"/>
      <c r="H2306" s="322"/>
      <c r="I2306" s="322"/>
      <c r="J2306" s="322"/>
      <c r="K2306" s="322"/>
      <c r="L2306" s="125"/>
      <c r="M2306" s="125"/>
      <c r="N2306" s="125"/>
      <c r="O2306" s="125"/>
      <c r="P2306" s="125"/>
      <c r="Q2306" s="125"/>
      <c r="R2306" s="125"/>
      <c r="S2306" s="324"/>
      <c r="T2306" s="324"/>
      <c r="U2306" s="324"/>
      <c r="V2306" s="23"/>
    </row>
    <row r="2307" spans="1:29" s="16" customFormat="1" ht="21" customHeight="1" x14ac:dyDescent="0.2">
      <c r="A2307" s="21"/>
      <c r="B2307" s="54" t="s">
        <v>930</v>
      </c>
      <c r="C2307" s="303"/>
      <c r="D2307" s="322"/>
      <c r="E2307" s="322"/>
      <c r="F2307" s="322"/>
      <c r="G2307" s="322"/>
      <c r="H2307" s="322"/>
      <c r="I2307" s="322"/>
      <c r="J2307" s="322"/>
      <c r="K2307" s="322"/>
      <c r="L2307" s="125"/>
      <c r="M2307" s="125"/>
      <c r="N2307" s="125"/>
      <c r="O2307" s="125"/>
      <c r="P2307" s="125"/>
      <c r="Q2307" s="125"/>
      <c r="R2307" s="125"/>
      <c r="S2307" s="324"/>
      <c r="T2307" s="324"/>
      <c r="U2307" s="324"/>
      <c r="V2307" s="23"/>
    </row>
    <row r="2308" spans="1:29" s="16" customFormat="1" ht="21" customHeight="1" x14ac:dyDescent="0.2">
      <c r="A2308" s="21"/>
      <c r="B2308" s="54"/>
      <c r="C2308" s="409" t="s">
        <v>931</v>
      </c>
      <c r="D2308" s="409"/>
      <c r="E2308" s="409"/>
      <c r="F2308" s="409"/>
      <c r="G2308" s="409"/>
      <c r="H2308" s="409"/>
      <c r="I2308" s="409"/>
      <c r="J2308" s="409"/>
      <c r="K2308" s="409"/>
      <c r="L2308" s="409"/>
      <c r="M2308" s="409"/>
      <c r="N2308" s="409"/>
      <c r="O2308" s="409"/>
      <c r="P2308" s="409"/>
      <c r="Q2308" s="409"/>
      <c r="R2308" s="409"/>
      <c r="S2308" s="409"/>
      <c r="T2308" s="409"/>
      <c r="U2308" s="409"/>
      <c r="V2308" s="23"/>
    </row>
    <row r="2309" spans="1:29" s="16" customFormat="1" ht="34.5" customHeight="1" x14ac:dyDescent="0.2">
      <c r="A2309" s="21"/>
      <c r="B2309" s="23"/>
      <c r="D2309" s="410" t="str">
        <f>"Pada tahun anggaran "&amp;'[1]2.ISIAN DATA SKPD'!D11&amp;" dan tahun "&amp;'[1]2.ISIAN DATA SKPD'!D12&amp;" "&amp;'[1]2.ISIAN DATA SKPD'!D2&amp;" tidak terdapat Pendapatan Luar Biasa"</f>
        <v>Pada tahun anggaran 2018 dan tahun 2017 Dinas Pariwisata Dan Kebudayaan tidak terdapat Pendapatan Luar Biasa</v>
      </c>
      <c r="E2309" s="410"/>
      <c r="F2309" s="410"/>
      <c r="G2309" s="410"/>
      <c r="H2309" s="410"/>
      <c r="I2309" s="410"/>
      <c r="J2309" s="410"/>
      <c r="K2309" s="410"/>
      <c r="L2309" s="410"/>
      <c r="M2309" s="410"/>
      <c r="N2309" s="410"/>
      <c r="O2309" s="410"/>
      <c r="P2309" s="410"/>
      <c r="Q2309" s="410"/>
      <c r="R2309" s="410"/>
      <c r="S2309" s="410"/>
      <c r="T2309" s="410"/>
      <c r="U2309" s="410"/>
      <c r="V2309" s="23"/>
    </row>
    <row r="2310" spans="1:29" s="16" customFormat="1" ht="21" customHeight="1" x14ac:dyDescent="0.2">
      <c r="A2310" s="21"/>
      <c r="B2310" s="23"/>
      <c r="C2310" s="409" t="s">
        <v>932</v>
      </c>
      <c r="D2310" s="409"/>
      <c r="E2310" s="409"/>
      <c r="F2310" s="409"/>
      <c r="G2310" s="409"/>
      <c r="H2310" s="409"/>
      <c r="I2310" s="409"/>
      <c r="J2310" s="409"/>
      <c r="K2310" s="409"/>
      <c r="L2310" s="409"/>
      <c r="M2310" s="409"/>
      <c r="N2310" s="409"/>
      <c r="O2310" s="409"/>
      <c r="P2310" s="409"/>
      <c r="Q2310" s="409"/>
      <c r="R2310" s="409"/>
      <c r="S2310" s="409"/>
      <c r="T2310" s="409"/>
      <c r="U2310" s="409"/>
      <c r="V2310" s="23"/>
    </row>
    <row r="2311" spans="1:29" s="16" customFormat="1" ht="34.5" customHeight="1" x14ac:dyDescent="0.2">
      <c r="A2311" s="21"/>
      <c r="B2311" s="23"/>
      <c r="C2311" s="303"/>
      <c r="D2311" s="410" t="str">
        <f>"Pada tahun anggaran "&amp;'[1]2.ISIAN DATA SKPD'!D11&amp;" dan tahun "&amp;'[1]2.ISIAN DATA SKPD'!D12&amp;" "&amp;'[1]2.ISIAN DATA SKPD'!D2&amp;" tidak terdapat Beban Luar Biasa"</f>
        <v>Pada tahun anggaran 2018 dan tahun 2017 Dinas Pariwisata Dan Kebudayaan tidak terdapat Beban Luar Biasa</v>
      </c>
      <c r="E2311" s="410"/>
      <c r="F2311" s="410"/>
      <c r="G2311" s="410"/>
      <c r="H2311" s="410"/>
      <c r="I2311" s="410"/>
      <c r="J2311" s="410"/>
      <c r="K2311" s="410"/>
      <c r="L2311" s="410"/>
      <c r="M2311" s="410"/>
      <c r="N2311" s="410"/>
      <c r="O2311" s="410"/>
      <c r="P2311" s="410"/>
      <c r="Q2311" s="410"/>
      <c r="R2311" s="410"/>
      <c r="S2311" s="410"/>
      <c r="T2311" s="410"/>
      <c r="U2311" s="410"/>
      <c r="V2311" s="23"/>
    </row>
    <row r="2312" spans="1:29" s="16" customFormat="1" ht="21" customHeight="1" x14ac:dyDescent="0.2">
      <c r="A2312" s="21"/>
      <c r="B2312" s="23"/>
      <c r="C2312" s="303"/>
      <c r="D2312" s="324"/>
      <c r="E2312" s="324"/>
      <c r="F2312" s="324"/>
      <c r="G2312" s="324"/>
      <c r="H2312" s="324"/>
      <c r="I2312" s="324"/>
      <c r="J2312" s="324"/>
      <c r="K2312" s="324"/>
      <c r="L2312" s="324"/>
      <c r="M2312" s="324"/>
      <c r="N2312" s="324"/>
      <c r="O2312" s="324"/>
      <c r="P2312" s="324"/>
      <c r="Q2312" s="324"/>
      <c r="R2312" s="324"/>
      <c r="S2312" s="324"/>
      <c r="T2312" s="324"/>
      <c r="U2312" s="324"/>
      <c r="V2312" s="23"/>
    </row>
    <row r="2313" spans="1:29" s="16" customFormat="1" ht="21" customHeight="1" x14ac:dyDescent="0.2">
      <c r="A2313" s="21"/>
      <c r="B2313" s="54" t="s">
        <v>933</v>
      </c>
      <c r="C2313" s="303"/>
      <c r="D2313" s="324"/>
      <c r="E2313" s="324"/>
      <c r="F2313" s="324"/>
      <c r="G2313" s="324"/>
      <c r="H2313" s="324"/>
      <c r="I2313" s="324"/>
      <c r="J2313" s="324"/>
      <c r="K2313" s="324"/>
      <c r="L2313" s="324"/>
      <c r="M2313" s="324"/>
      <c r="N2313" s="324"/>
      <c r="O2313" s="324"/>
      <c r="P2313" s="324"/>
      <c r="Q2313" s="324"/>
      <c r="R2313" s="324"/>
      <c r="S2313" s="324"/>
      <c r="T2313" s="324"/>
      <c r="U2313" s="324"/>
      <c r="V2313" s="23"/>
      <c r="X2313" s="323"/>
    </row>
    <row r="2314" spans="1:29" s="16" customFormat="1" ht="80.25" customHeight="1" x14ac:dyDescent="0.2">
      <c r="A2314" s="21"/>
      <c r="B2314" s="54"/>
      <c r="C2314" s="407" t="str">
        <f>"Realisasi Surplus/Defisit-LO "&amp;'[1]2.ISIAN DATA SKPD'!D2&amp;" tahun anggaran "&amp;'[1]2.ISIAN DATA SKPD'!D11&amp;" sebesar Rp. "&amp;FIXED('[1]5.LO'!E440)&amp;" Apabila dibandingkan dengan Realisasi Surplus/Desfisit LO tahun "&amp;'[1]2.ISIAN DATA SKPD'!D12&amp;" sebesar Rp. "&amp;FIXED('[1]5.LO'!F440)&amp;" Maka terdapat kenaikan sebesar Rp. "&amp;'[1]5.LO'!H440&amp;", atau "&amp;FIXED('[1]5.LO'!G440)&amp;" %."</f>
        <v>Realisasi Surplus/Defisit-LO Dinas Pariwisata Dan Kebudayaan tahun anggaran 2018 sebesar Rp. -4.773.905.638,00 Apabila dibandingkan dengan Realisasi Surplus/Desfisit LO tahun 2017 sebesar Rp. -2.501.576.461,90 Maka terdapat kenaikan sebesar Rp. -2272329176,1, atau 90,84 %.</v>
      </c>
      <c r="D2314" s="407"/>
      <c r="E2314" s="407"/>
      <c r="F2314" s="407"/>
      <c r="G2314" s="407"/>
      <c r="H2314" s="407"/>
      <c r="I2314" s="407"/>
      <c r="J2314" s="407"/>
      <c r="K2314" s="407"/>
      <c r="L2314" s="407"/>
      <c r="M2314" s="407"/>
      <c r="N2314" s="407"/>
      <c r="O2314" s="407"/>
      <c r="P2314" s="407"/>
      <c r="Q2314" s="407"/>
      <c r="R2314" s="407"/>
      <c r="S2314" s="407"/>
      <c r="T2314" s="407"/>
      <c r="U2314" s="407"/>
      <c r="V2314" s="23"/>
      <c r="AC2314" s="323"/>
    </row>
    <row r="2315" spans="1:29" s="16" customFormat="1" ht="21" customHeight="1" x14ac:dyDescent="0.2">
      <c r="A2315" s="21"/>
      <c r="B2315" s="23"/>
      <c r="C2315" s="303"/>
      <c r="D2315" s="324"/>
      <c r="E2315" s="324"/>
      <c r="F2315" s="324"/>
      <c r="G2315" s="324"/>
      <c r="H2315" s="324"/>
      <c r="I2315" s="324"/>
      <c r="J2315" s="324"/>
      <c r="K2315" s="324"/>
      <c r="L2315" s="324"/>
      <c r="M2315" s="324"/>
      <c r="N2315" s="324"/>
      <c r="O2315" s="324"/>
      <c r="P2315" s="324"/>
      <c r="Q2315" s="324"/>
      <c r="R2315" s="324"/>
      <c r="S2315" s="324"/>
      <c r="T2315" s="324"/>
      <c r="U2315" s="324"/>
      <c r="V2315" s="23"/>
    </row>
    <row r="2316" spans="1:29" s="16" customFormat="1" ht="21" customHeight="1" x14ac:dyDescent="0.2">
      <c r="A2316" s="21"/>
      <c r="B2316" s="325" t="s">
        <v>934</v>
      </c>
      <c r="C2316" s="411" t="s">
        <v>935</v>
      </c>
      <c r="D2316" s="411"/>
      <c r="E2316" s="411"/>
      <c r="F2316" s="411"/>
      <c r="G2316" s="411"/>
      <c r="H2316" s="411"/>
      <c r="I2316" s="411"/>
      <c r="J2316" s="411"/>
      <c r="K2316" s="411"/>
      <c r="L2316" s="411"/>
      <c r="M2316" s="411"/>
      <c r="N2316" s="411"/>
      <c r="O2316" s="411"/>
      <c r="P2316" s="411"/>
      <c r="Q2316" s="411"/>
      <c r="R2316" s="411"/>
      <c r="S2316" s="411"/>
      <c r="T2316" s="411"/>
      <c r="U2316" s="411"/>
      <c r="V2316" s="23"/>
    </row>
    <row r="2317" spans="1:29" s="16" customFormat="1" ht="48.75" customHeight="1" x14ac:dyDescent="0.2">
      <c r="A2317" s="21"/>
      <c r="B2317" s="325"/>
      <c r="C2317" s="407" t="str">
        <f>"Laporan Perubahan Ekuitas "&amp;'[1]2.ISIAN DATA SKPD'!D2&amp;" tahun anggaran "&amp;'[1]2.ISIAN DATA SKPD'!D11&amp;". Menyajikan informasi mengani kenaikan dan penurunan ekuitas selama tahun anggaran "&amp;'[1]2.ISIAN DATA SKPD'!D11&amp;"."</f>
        <v>Laporan Perubahan Ekuitas Dinas Pariwisata Dan Kebudayaan tahun anggaran 2018. Menyajikan informasi mengani kenaikan dan penurunan ekuitas selama tahun anggaran 2018.</v>
      </c>
      <c r="D2317" s="407"/>
      <c r="E2317" s="407"/>
      <c r="F2317" s="407"/>
      <c r="G2317" s="407"/>
      <c r="H2317" s="407"/>
      <c r="I2317" s="407"/>
      <c r="J2317" s="407"/>
      <c r="K2317" s="407"/>
      <c r="L2317" s="407"/>
      <c r="M2317" s="407"/>
      <c r="N2317" s="407"/>
      <c r="O2317" s="407"/>
      <c r="P2317" s="407"/>
      <c r="Q2317" s="407"/>
      <c r="R2317" s="407"/>
      <c r="S2317" s="407"/>
      <c r="T2317" s="407"/>
      <c r="U2317" s="407"/>
      <c r="V2317" s="23"/>
    </row>
    <row r="2318" spans="1:29" s="16" customFormat="1" ht="100.5" customHeight="1" x14ac:dyDescent="0.2">
      <c r="A2318" s="21"/>
      <c r="B2318" s="325"/>
      <c r="C2318" s="407" t="str">
        <f>"Ekuitas per  "&amp;'[1]2.ISIAN DATA SKPD'!D8&amp;" sebesar Rp. "&amp;FIXED('[1]6.LPE'!C24)&amp;" berasal dari Saldo Awal Ekuitas per "&amp;'[1]2.ISIAN DATA SKPD'!D9&amp;" sebesar Rp. "&amp;FIXED('[1]6.LPE'!C9)&amp;" ditambah Surplus/Defisit-LO Tahun Anggaran "&amp;'[1]2.ISIAN DATA SKPD'!D11&amp;" sebesar Rp. "&amp;FIXED('[1]6.LPE'!C10)&amp;" ditambah dampak kumulatif perubahan kebijakan/kesalahan mendasar tahun anggaran "&amp;'[1]2.ISIAN DATA SKPD'!D11&amp;" sebesar Rp. "&amp;FIXED('[1]6.LPE'!C12)&amp;""</f>
        <v>Ekuitas per  31 Desember 2018 sebesar Rp. 13.359.349.202,10 berasal dari Saldo Awal Ekuitas per 31 Desember 2017 sebesar Rp. -1.430.890.037,90 ditambah Surplus/Defisit-LO Tahun Anggaran 2018 sebesar Rp. -5.839.266.496,00 ditambah dampak kumulatif perubahan kebijakan/kesalahan mendasar tahun anggaran 2018 sebesar Rp. 20.629.505.736,00</v>
      </c>
      <c r="D2318" s="407"/>
      <c r="E2318" s="407"/>
      <c r="F2318" s="407"/>
      <c r="G2318" s="407"/>
      <c r="H2318" s="407"/>
      <c r="I2318" s="407"/>
      <c r="J2318" s="407"/>
      <c r="K2318" s="407"/>
      <c r="L2318" s="407"/>
      <c r="M2318" s="407"/>
      <c r="N2318" s="407"/>
      <c r="O2318" s="407"/>
      <c r="P2318" s="407"/>
      <c r="Q2318" s="407"/>
      <c r="R2318" s="407"/>
      <c r="S2318" s="407"/>
      <c r="T2318" s="407"/>
      <c r="U2318" s="407"/>
      <c r="V2318" s="23"/>
    </row>
    <row r="2319" spans="1:29" s="16" customFormat="1" ht="21" customHeight="1" x14ac:dyDescent="0.2">
      <c r="A2319" s="21"/>
      <c r="B2319" s="108" t="s">
        <v>936</v>
      </c>
      <c r="C2319" s="326"/>
      <c r="D2319" s="326"/>
      <c r="E2319" s="326"/>
      <c r="F2319" s="326"/>
      <c r="G2319" s="326"/>
      <c r="H2319" s="326"/>
      <c r="I2319" s="326"/>
      <c r="J2319" s="326"/>
      <c r="K2319" s="326"/>
      <c r="L2319" s="326"/>
      <c r="M2319" s="326"/>
      <c r="N2319" s="326"/>
      <c r="O2319" s="326"/>
      <c r="P2319" s="326"/>
      <c r="Q2319" s="326"/>
      <c r="R2319" s="326"/>
      <c r="S2319" s="326"/>
      <c r="T2319" s="326"/>
      <c r="U2319" s="326"/>
      <c r="V2319" s="23"/>
    </row>
    <row r="2320" spans="1:29" s="16" customFormat="1" ht="49.5" customHeight="1" x14ac:dyDescent="0.2">
      <c r="A2320" s="21"/>
      <c r="B2320" s="325"/>
      <c r="C2320" s="408" t="str">
        <f>"Ekuitas awal tahun anggaran "&amp;'[1]2.ISIAN DATA SKPD'!D11&amp;" sebesar Rp. "&amp;FIXED('[1]6.LPE'!C9)&amp;" berasal dari Saldo Ekuitas Neraca per "&amp;'[1]2.ISIAN DATA SKPD'!D9&amp;" setelah audit."</f>
        <v>Ekuitas awal tahun anggaran 2018 sebesar Rp. -1.430.890.037,90 berasal dari Saldo Ekuitas Neraca per 31 Desember 2017 setelah audit.</v>
      </c>
      <c r="D2320" s="408"/>
      <c r="E2320" s="408"/>
      <c r="F2320" s="408"/>
      <c r="G2320" s="408"/>
      <c r="H2320" s="408"/>
      <c r="I2320" s="408"/>
      <c r="J2320" s="408"/>
      <c r="K2320" s="408"/>
      <c r="L2320" s="408"/>
      <c r="M2320" s="408"/>
      <c r="N2320" s="408"/>
      <c r="O2320" s="408"/>
      <c r="P2320" s="408"/>
      <c r="Q2320" s="408"/>
      <c r="R2320" s="408"/>
      <c r="S2320" s="408"/>
      <c r="T2320" s="408"/>
      <c r="U2320" s="408"/>
      <c r="V2320" s="23"/>
    </row>
    <row r="2321" spans="1:22" s="16" customFormat="1" ht="21" customHeight="1" x14ac:dyDescent="0.2">
      <c r="A2321" s="21"/>
      <c r="B2321" s="325"/>
      <c r="C2321" s="326"/>
      <c r="D2321" s="326"/>
      <c r="E2321" s="326"/>
      <c r="F2321" s="326"/>
      <c r="G2321" s="326"/>
      <c r="H2321" s="326"/>
      <c r="I2321" s="326"/>
      <c r="J2321" s="326"/>
      <c r="K2321" s="326"/>
      <c r="L2321" s="326"/>
      <c r="M2321" s="326"/>
      <c r="N2321" s="326"/>
      <c r="O2321" s="326"/>
      <c r="P2321" s="326"/>
      <c r="Q2321" s="326"/>
      <c r="R2321" s="326"/>
      <c r="S2321" s="326"/>
      <c r="T2321" s="326"/>
      <c r="U2321" s="326"/>
      <c r="V2321" s="23"/>
    </row>
    <row r="2322" spans="1:22" s="16" customFormat="1" ht="21" customHeight="1" x14ac:dyDescent="0.2">
      <c r="A2322" s="21"/>
      <c r="B2322" s="108" t="str">
        <f>"3.4.2. Surplus Defisit LO  Tahun Anggaran "&amp;'[1]2.ISIAN DATA SKPD'!D11&amp;""</f>
        <v>3.4.2. Surplus Defisit LO  Tahun Anggaran 2018</v>
      </c>
      <c r="C2322" s="326"/>
      <c r="D2322" s="326"/>
      <c r="E2322" s="326"/>
      <c r="F2322" s="326"/>
      <c r="G2322" s="326"/>
      <c r="H2322" s="326"/>
      <c r="I2322" s="326"/>
      <c r="J2322" s="326"/>
      <c r="K2322" s="326"/>
      <c r="L2322" s="326"/>
      <c r="M2322" s="326"/>
      <c r="N2322" s="326"/>
      <c r="O2322" s="326"/>
      <c r="P2322" s="326"/>
      <c r="Q2322" s="326"/>
      <c r="R2322" s="326"/>
      <c r="S2322" s="326"/>
      <c r="T2322" s="326"/>
      <c r="U2322" s="326"/>
      <c r="V2322" s="23"/>
    </row>
    <row r="2323" spans="1:22" s="16" customFormat="1" ht="65.25" customHeight="1" x14ac:dyDescent="0.2">
      <c r="A2323" s="21"/>
      <c r="B2323" s="325"/>
      <c r="C2323" s="408" t="str">
        <f>"Surplus/Defisit LO tahun anggaran "&amp;'[1]2.ISIAN DATA SKPD'!D11&amp;"  sebesar Rp. "&amp;FIXED('[1]6.LPE'!C10)&amp;" berasal dari Pendapatan-LO dikurangi Beban tahun anggaran "&amp;'[1]2.ISIAN DATA SKPD'!D11&amp;" sebagaimana dapat dilihat pada laporan operasional."</f>
        <v>Surplus/Defisit LO tahun anggaran 2018  sebesar Rp. -5.839.266.496,00 berasal dari Pendapatan-LO dikurangi Beban tahun anggaran 2018 sebagaimana dapat dilihat pada laporan operasional.</v>
      </c>
      <c r="D2323" s="408"/>
      <c r="E2323" s="408"/>
      <c r="F2323" s="408"/>
      <c r="G2323" s="408"/>
      <c r="H2323" s="408"/>
      <c r="I2323" s="408"/>
      <c r="J2323" s="408"/>
      <c r="K2323" s="408"/>
      <c r="L2323" s="408"/>
      <c r="M2323" s="408"/>
      <c r="N2323" s="408"/>
      <c r="O2323" s="408"/>
      <c r="P2323" s="408"/>
      <c r="Q2323" s="408"/>
      <c r="R2323" s="408"/>
      <c r="S2323" s="408"/>
      <c r="T2323" s="408"/>
      <c r="U2323" s="408"/>
      <c r="V2323" s="23"/>
    </row>
    <row r="2324" spans="1:22" s="16" customFormat="1" ht="65.25" customHeight="1" x14ac:dyDescent="0.2">
      <c r="A2324" s="21"/>
      <c r="B2324" s="325"/>
      <c r="C2324" s="37"/>
      <c r="D2324" s="37"/>
      <c r="E2324" s="37"/>
      <c r="F2324" s="37"/>
      <c r="G2324" s="37"/>
      <c r="H2324" s="37"/>
      <c r="I2324" s="37"/>
      <c r="J2324" s="37"/>
      <c r="K2324" s="37"/>
      <c r="L2324" s="37"/>
      <c r="M2324" s="37"/>
      <c r="N2324" s="37"/>
      <c r="O2324" s="37"/>
      <c r="P2324" s="37"/>
      <c r="Q2324" s="37"/>
      <c r="R2324" s="37"/>
      <c r="S2324" s="37"/>
      <c r="T2324" s="37"/>
      <c r="U2324" s="37"/>
      <c r="V2324" s="23"/>
    </row>
    <row r="2325" spans="1:22" s="16" customFormat="1" ht="28.5" customHeight="1" x14ac:dyDescent="0.2">
      <c r="A2325" s="21"/>
      <c r="B2325" s="325"/>
      <c r="C2325" s="37"/>
      <c r="D2325" s="37"/>
      <c r="E2325" s="37"/>
      <c r="F2325" s="37"/>
      <c r="G2325" s="37"/>
      <c r="H2325" s="37"/>
      <c r="I2325" s="37"/>
      <c r="J2325" s="37"/>
      <c r="K2325" s="37"/>
      <c r="L2325" s="37"/>
      <c r="M2325" s="37"/>
      <c r="N2325" s="37"/>
      <c r="O2325" s="37"/>
      <c r="P2325" s="37"/>
      <c r="Q2325" s="37"/>
      <c r="R2325" s="37"/>
      <c r="S2325" s="37"/>
      <c r="T2325" s="37"/>
      <c r="U2325" s="37"/>
      <c r="V2325" s="23"/>
    </row>
    <row r="2326" spans="1:22" s="16" customFormat="1" ht="32.25" customHeight="1" x14ac:dyDescent="0.2">
      <c r="A2326" s="21"/>
      <c r="B2326" s="325"/>
      <c r="C2326" s="326"/>
      <c r="D2326" s="326"/>
      <c r="E2326" s="326"/>
      <c r="F2326" s="326"/>
      <c r="G2326" s="326"/>
      <c r="H2326" s="326"/>
      <c r="I2326" s="326"/>
      <c r="J2326" s="326"/>
      <c r="K2326" s="326"/>
      <c r="L2326" s="326"/>
      <c r="M2326" s="326"/>
      <c r="N2326" s="326"/>
      <c r="O2326" s="326"/>
      <c r="P2326" s="326"/>
      <c r="Q2326" s="326"/>
      <c r="R2326" s="326"/>
      <c r="S2326" s="326"/>
      <c r="T2326" s="326"/>
      <c r="U2326" s="326"/>
      <c r="V2326" s="23"/>
    </row>
    <row r="2327" spans="1:22" s="16" customFormat="1" ht="30.75" customHeight="1" x14ac:dyDescent="0.2">
      <c r="A2327" s="21"/>
      <c r="B2327" s="73" t="s">
        <v>937</v>
      </c>
      <c r="C2327" s="327"/>
      <c r="D2327" s="327"/>
      <c r="E2327" s="327"/>
      <c r="F2327" s="327"/>
      <c r="G2327" s="327"/>
      <c r="H2327" s="327"/>
      <c r="I2327" s="327"/>
      <c r="J2327" s="327"/>
      <c r="K2327" s="327"/>
      <c r="L2327" s="327"/>
      <c r="M2327" s="327"/>
      <c r="N2327" s="327"/>
      <c r="O2327" s="327"/>
      <c r="P2327" s="327"/>
      <c r="Q2327" s="327"/>
      <c r="R2327" s="327"/>
      <c r="S2327" s="327"/>
      <c r="T2327" s="327"/>
      <c r="U2327" s="327"/>
      <c r="V2327" s="23"/>
    </row>
    <row r="2328" spans="1:22" s="16" customFormat="1" ht="36" customHeight="1" x14ac:dyDescent="0.2">
      <c r="A2328" s="21"/>
      <c r="B2328" s="325"/>
      <c r="C2328" s="408" t="str">
        <f>"Dampak komulatif perubahan kebijakan/kesalahan atas ekuitas awal sebesar Rp. "&amp;FIXED('[1]6.LPE'!C12)&amp;" yang terdiri dari :"</f>
        <v>Dampak komulatif perubahan kebijakan/kesalahan atas ekuitas awal sebesar Rp. 20.629.505.736,00 yang terdiri dari :</v>
      </c>
      <c r="D2328" s="408"/>
      <c r="E2328" s="408"/>
      <c r="F2328" s="408"/>
      <c r="G2328" s="408"/>
      <c r="H2328" s="408"/>
      <c r="I2328" s="408"/>
      <c r="J2328" s="408"/>
      <c r="K2328" s="408"/>
      <c r="L2328" s="408"/>
      <c r="M2328" s="408"/>
      <c r="N2328" s="408"/>
      <c r="O2328" s="408"/>
      <c r="P2328" s="408"/>
      <c r="Q2328" s="408"/>
      <c r="R2328" s="408"/>
      <c r="S2328" s="408"/>
      <c r="T2328" s="408"/>
      <c r="U2328" s="408"/>
      <c r="V2328" s="23"/>
    </row>
    <row r="2329" spans="1:22" s="16" customFormat="1" ht="20.25" customHeight="1" x14ac:dyDescent="0.2">
      <c r="A2329" s="21"/>
      <c r="B2329" s="6"/>
      <c r="C2329" s="402" t="s">
        <v>938</v>
      </c>
      <c r="D2329" s="402"/>
      <c r="E2329" s="402"/>
      <c r="F2329" s="402"/>
      <c r="G2329" s="402"/>
      <c r="H2329" s="402"/>
      <c r="I2329" s="402"/>
      <c r="J2329" s="402"/>
      <c r="K2329" s="402"/>
      <c r="L2329" s="402"/>
      <c r="M2329" s="402"/>
      <c r="N2329" s="402"/>
      <c r="O2329" s="328" t="s">
        <v>404</v>
      </c>
      <c r="P2329" s="404">
        <f>SUM(P2330:U2334)</f>
        <v>35256375</v>
      </c>
      <c r="Q2329" s="404"/>
      <c r="R2329" s="404"/>
      <c r="S2329" s="404"/>
      <c r="T2329" s="404"/>
      <c r="U2329" s="404"/>
      <c r="V2329" s="23"/>
    </row>
    <row r="2330" spans="1:22" s="16" customFormat="1" ht="21" customHeight="1" x14ac:dyDescent="0.2">
      <c r="A2330" s="21"/>
      <c r="B2330" s="6"/>
      <c r="C2330" s="402" t="str">
        <f>'[1]6.LPE'!B14</f>
        <v xml:space="preserve">       Mutasi aset dari Dinas Perhubungan</v>
      </c>
      <c r="D2330" s="402"/>
      <c r="E2330" s="402"/>
      <c r="F2330" s="402"/>
      <c r="G2330" s="402"/>
      <c r="H2330" s="402"/>
      <c r="I2330" s="402"/>
      <c r="J2330" s="402"/>
      <c r="K2330" s="402"/>
      <c r="L2330" s="402"/>
      <c r="M2330" s="402"/>
      <c r="N2330" s="402"/>
      <c r="O2330" s="121" t="s">
        <v>404</v>
      </c>
      <c r="P2330" s="404">
        <f>'[1]6.LPE'!C14</f>
        <v>0</v>
      </c>
      <c r="Q2330" s="404"/>
      <c r="R2330" s="404"/>
      <c r="S2330" s="404"/>
      <c r="T2330" s="404"/>
      <c r="U2330" s="404"/>
      <c r="V2330" s="23"/>
    </row>
    <row r="2331" spans="1:22" s="16" customFormat="1" ht="21" customHeight="1" x14ac:dyDescent="0.2">
      <c r="A2331" s="21"/>
      <c r="B2331" s="6"/>
      <c r="C2331" s="406" t="s">
        <v>939</v>
      </c>
      <c r="D2331" s="406"/>
      <c r="E2331" s="406"/>
      <c r="F2331" s="406"/>
      <c r="G2331" s="406"/>
      <c r="H2331" s="406"/>
      <c r="I2331" s="406"/>
      <c r="J2331" s="406"/>
      <c r="K2331" s="406"/>
      <c r="L2331" s="406"/>
      <c r="M2331" s="406"/>
      <c r="N2331" s="406"/>
      <c r="O2331" s="121" t="s">
        <v>404</v>
      </c>
      <c r="P2331" s="404">
        <v>35256375</v>
      </c>
      <c r="Q2331" s="404"/>
      <c r="R2331" s="404"/>
      <c r="S2331" s="404"/>
      <c r="T2331" s="404"/>
      <c r="U2331" s="404"/>
      <c r="V2331" s="23"/>
    </row>
    <row r="2332" spans="1:22" s="16" customFormat="1" ht="21" customHeight="1" x14ac:dyDescent="0.2">
      <c r="A2332" s="21"/>
      <c r="B2332" s="6"/>
      <c r="C2332" s="402" t="str">
        <f>'[1]6.LPE'!B16</f>
        <v xml:space="preserve">       Serah terima skpd</v>
      </c>
      <c r="D2332" s="402"/>
      <c r="E2332" s="402"/>
      <c r="F2332" s="402"/>
      <c r="G2332" s="402"/>
      <c r="H2332" s="402"/>
      <c r="I2332" s="402"/>
      <c r="J2332" s="402"/>
      <c r="K2332" s="402"/>
      <c r="L2332" s="402"/>
      <c r="M2332" s="402"/>
      <c r="N2332" s="402"/>
      <c r="O2332" s="121" t="s">
        <v>404</v>
      </c>
      <c r="P2332" s="404">
        <f>'[1]6.LPE'!C16</f>
        <v>0</v>
      </c>
      <c r="Q2332" s="404"/>
      <c r="R2332" s="404"/>
      <c r="S2332" s="404"/>
      <c r="T2332" s="404"/>
      <c r="U2332" s="404"/>
      <c r="V2332" s="23"/>
    </row>
    <row r="2333" spans="1:22" s="16" customFormat="1" ht="21" customHeight="1" x14ac:dyDescent="0.2">
      <c r="A2333" s="21"/>
      <c r="B2333" s="6"/>
      <c r="C2333" s="402" t="str">
        <f>'[1]6.LPE'!B17</f>
        <v xml:space="preserve">       Mutasi Karcis dari BPPKAD</v>
      </c>
      <c r="D2333" s="402"/>
      <c r="E2333" s="402"/>
      <c r="F2333" s="402"/>
      <c r="G2333" s="402"/>
      <c r="H2333" s="402"/>
      <c r="I2333" s="402"/>
      <c r="J2333" s="402"/>
      <c r="K2333" s="402"/>
      <c r="L2333" s="402"/>
      <c r="M2333" s="402"/>
      <c r="N2333" s="402"/>
      <c r="O2333" s="121" t="s">
        <v>404</v>
      </c>
      <c r="P2333" s="404">
        <f>'[1]6.LPE'!C17</f>
        <v>0</v>
      </c>
      <c r="Q2333" s="404"/>
      <c r="R2333" s="404"/>
      <c r="S2333" s="404"/>
      <c r="T2333" s="404"/>
      <c r="U2333" s="404"/>
      <c r="V2333" s="23"/>
    </row>
    <row r="2334" spans="1:22" s="16" customFormat="1" ht="16.5" customHeight="1" x14ac:dyDescent="0.2">
      <c r="A2334" s="21"/>
      <c r="B2334" s="6"/>
      <c r="C2334" s="402"/>
      <c r="D2334" s="402"/>
      <c r="E2334" s="402"/>
      <c r="F2334" s="402"/>
      <c r="G2334" s="402"/>
      <c r="H2334" s="402"/>
      <c r="I2334" s="402"/>
      <c r="J2334" s="402"/>
      <c r="K2334" s="402"/>
      <c r="L2334" s="402"/>
      <c r="M2334" s="402"/>
      <c r="N2334" s="402"/>
      <c r="O2334" s="121"/>
      <c r="P2334" s="404">
        <v>0</v>
      </c>
      <c r="Q2334" s="404"/>
      <c r="R2334" s="404"/>
      <c r="S2334" s="404"/>
      <c r="T2334" s="404"/>
      <c r="U2334" s="404"/>
      <c r="V2334" s="23"/>
    </row>
    <row r="2335" spans="1:22" s="16" customFormat="1" ht="14.25" customHeight="1" x14ac:dyDescent="0.2">
      <c r="A2335" s="21"/>
      <c r="B2335" s="6"/>
      <c r="C2335" s="406"/>
      <c r="D2335" s="406"/>
      <c r="E2335" s="406"/>
      <c r="F2335" s="406"/>
      <c r="G2335" s="406"/>
      <c r="H2335" s="406"/>
      <c r="I2335" s="406"/>
      <c r="J2335" s="406"/>
      <c r="K2335" s="406"/>
      <c r="L2335" s="406"/>
      <c r="M2335" s="406"/>
      <c r="N2335" s="406"/>
      <c r="O2335" s="20"/>
      <c r="P2335" s="406"/>
      <c r="Q2335" s="406"/>
      <c r="R2335" s="406"/>
      <c r="S2335" s="406"/>
      <c r="T2335" s="406"/>
      <c r="U2335" s="406"/>
      <c r="V2335" s="23"/>
    </row>
    <row r="2336" spans="1:22" s="16" customFormat="1" ht="21" customHeight="1" x14ac:dyDescent="0.2">
      <c r="A2336" s="21"/>
      <c r="B2336" s="6"/>
      <c r="C2336" s="402" t="s">
        <v>940</v>
      </c>
      <c r="D2336" s="402"/>
      <c r="E2336" s="402"/>
      <c r="F2336" s="402"/>
      <c r="G2336" s="402"/>
      <c r="H2336" s="402"/>
      <c r="I2336" s="402"/>
      <c r="J2336" s="402"/>
      <c r="K2336" s="402"/>
      <c r="L2336" s="402"/>
      <c r="M2336" s="402"/>
      <c r="N2336" s="402"/>
      <c r="O2336" s="328" t="s">
        <v>404</v>
      </c>
      <c r="P2336" s="404">
        <f>SUM(P2337:U2340)</f>
        <v>-51456000</v>
      </c>
      <c r="Q2336" s="404"/>
      <c r="R2336" s="404"/>
      <c r="S2336" s="404"/>
      <c r="T2336" s="404"/>
      <c r="U2336" s="404"/>
      <c r="V2336" s="23"/>
    </row>
    <row r="2337" spans="1:22" s="16" customFormat="1" ht="36.75" customHeight="1" x14ac:dyDescent="0.2">
      <c r="A2337" s="21"/>
      <c r="B2337" s="6"/>
      <c r="C2337" s="405" t="str">
        <f>'[1]6.LPE'!B15</f>
        <v xml:space="preserve">       Koreksi akumulasi penyusutan/amortisasi </v>
      </c>
      <c r="D2337" s="405"/>
      <c r="E2337" s="405"/>
      <c r="F2337" s="405"/>
      <c r="G2337" s="405"/>
      <c r="H2337" s="405"/>
      <c r="I2337" s="405"/>
      <c r="J2337" s="405"/>
      <c r="K2337" s="405"/>
      <c r="L2337" s="405"/>
      <c r="M2337" s="405"/>
      <c r="N2337" s="405"/>
      <c r="O2337" s="121" t="s">
        <v>404</v>
      </c>
      <c r="P2337" s="404">
        <f>'[1]6.LPE'!C15</f>
        <v>0</v>
      </c>
      <c r="Q2337" s="404"/>
      <c r="R2337" s="404"/>
      <c r="S2337" s="404"/>
      <c r="T2337" s="404"/>
      <c r="U2337" s="404"/>
      <c r="V2337" s="23"/>
    </row>
    <row r="2338" spans="1:22" s="16" customFormat="1" ht="21" customHeight="1" x14ac:dyDescent="0.2">
      <c r="A2338" s="21"/>
      <c r="B2338" s="6"/>
      <c r="C2338" s="402" t="s">
        <v>941</v>
      </c>
      <c r="D2338" s="402"/>
      <c r="E2338" s="402"/>
      <c r="F2338" s="402"/>
      <c r="G2338" s="402"/>
      <c r="H2338" s="402"/>
      <c r="I2338" s="402"/>
      <c r="J2338" s="402"/>
      <c r="K2338" s="402"/>
      <c r="L2338" s="402"/>
      <c r="M2338" s="402"/>
      <c r="N2338" s="402"/>
      <c r="O2338" s="121" t="s">
        <v>404</v>
      </c>
      <c r="P2338" s="404">
        <v>-17152000</v>
      </c>
      <c r="Q2338" s="404"/>
      <c r="R2338" s="404"/>
      <c r="S2338" s="404"/>
      <c r="T2338" s="404"/>
      <c r="U2338" s="404"/>
      <c r="V2338" s="23"/>
    </row>
    <row r="2339" spans="1:22" s="16" customFormat="1" ht="21" customHeight="1" x14ac:dyDescent="0.2">
      <c r="A2339" s="21"/>
      <c r="B2339" s="6"/>
      <c r="C2339" s="402" t="s">
        <v>942</v>
      </c>
      <c r="D2339" s="402"/>
      <c r="E2339" s="402"/>
      <c r="F2339" s="402"/>
      <c r="G2339" s="402"/>
      <c r="H2339" s="402"/>
      <c r="I2339" s="402"/>
      <c r="J2339" s="402"/>
      <c r="K2339" s="402"/>
      <c r="L2339" s="402"/>
      <c r="M2339" s="402"/>
      <c r="N2339" s="402"/>
      <c r="O2339" s="121" t="s">
        <v>404</v>
      </c>
      <c r="P2339" s="404">
        <v>-17152000</v>
      </c>
      <c r="Q2339" s="404"/>
      <c r="R2339" s="404"/>
      <c r="S2339" s="404"/>
      <c r="T2339" s="404"/>
      <c r="U2339" s="404"/>
      <c r="V2339" s="23"/>
    </row>
    <row r="2340" spans="1:22" s="16" customFormat="1" ht="21" customHeight="1" x14ac:dyDescent="0.2">
      <c r="A2340" s="21"/>
      <c r="B2340" s="6"/>
      <c r="C2340" s="402" t="s">
        <v>943</v>
      </c>
      <c r="D2340" s="402"/>
      <c r="E2340" s="402"/>
      <c r="F2340" s="402"/>
      <c r="G2340" s="402"/>
      <c r="H2340" s="402"/>
      <c r="I2340" s="402"/>
      <c r="J2340" s="402"/>
      <c r="K2340" s="402"/>
      <c r="L2340" s="402"/>
      <c r="M2340" s="402"/>
      <c r="N2340" s="402"/>
      <c r="O2340" s="121" t="s">
        <v>404</v>
      </c>
      <c r="P2340" s="404">
        <v>-17152000</v>
      </c>
      <c r="Q2340" s="404"/>
      <c r="R2340" s="404"/>
      <c r="S2340" s="404"/>
      <c r="T2340" s="404"/>
      <c r="U2340" s="404"/>
      <c r="V2340" s="23"/>
    </row>
    <row r="2341" spans="1:22" s="16" customFormat="1" ht="21" customHeight="1" x14ac:dyDescent="0.2">
      <c r="A2341" s="21"/>
      <c r="B2341" s="6"/>
      <c r="C2341" s="402" t="s">
        <v>944</v>
      </c>
      <c r="D2341" s="402"/>
      <c r="E2341" s="402"/>
      <c r="F2341" s="402"/>
      <c r="G2341" s="402"/>
      <c r="H2341" s="402"/>
      <c r="I2341" s="402"/>
      <c r="J2341" s="402"/>
      <c r="K2341" s="402"/>
      <c r="L2341" s="402"/>
      <c r="M2341" s="402"/>
      <c r="N2341" s="402"/>
      <c r="O2341" s="121" t="s">
        <v>404</v>
      </c>
      <c r="P2341" s="404">
        <v>-17152000</v>
      </c>
      <c r="Q2341" s="404"/>
      <c r="R2341" s="404"/>
      <c r="S2341" s="404"/>
      <c r="T2341" s="404"/>
      <c r="U2341" s="404"/>
      <c r="V2341" s="23"/>
    </row>
    <row r="2342" spans="1:22" s="16" customFormat="1" ht="21" customHeight="1" x14ac:dyDescent="0.2">
      <c r="A2342" s="21"/>
      <c r="B2342" s="6"/>
      <c r="C2342" s="402" t="s">
        <v>945</v>
      </c>
      <c r="D2342" s="402"/>
      <c r="E2342" s="402"/>
      <c r="F2342" s="402"/>
      <c r="G2342" s="402"/>
      <c r="H2342" s="402"/>
      <c r="I2342" s="402"/>
      <c r="J2342" s="402"/>
      <c r="K2342" s="402"/>
      <c r="L2342" s="402"/>
      <c r="M2342" s="402"/>
      <c r="N2342" s="402"/>
      <c r="O2342" s="121" t="s">
        <v>404</v>
      </c>
      <c r="P2342" s="403">
        <v>-104100000</v>
      </c>
      <c r="Q2342" s="403"/>
      <c r="R2342" s="403"/>
      <c r="S2342" s="403"/>
      <c r="T2342" s="403"/>
      <c r="U2342" s="403"/>
      <c r="V2342" s="23"/>
    </row>
    <row r="2343" spans="1:22" s="16" customFormat="1" ht="21" customHeight="1" x14ac:dyDescent="0.2">
      <c r="A2343" s="21"/>
      <c r="B2343" s="6"/>
      <c r="C2343" s="402" t="s">
        <v>946</v>
      </c>
      <c r="D2343" s="402"/>
      <c r="E2343" s="402"/>
      <c r="F2343" s="402"/>
      <c r="G2343" s="402"/>
      <c r="H2343" s="402"/>
      <c r="I2343" s="402"/>
      <c r="J2343" s="402"/>
      <c r="K2343" s="402"/>
      <c r="L2343" s="402"/>
      <c r="M2343" s="402"/>
      <c r="N2343" s="402"/>
      <c r="O2343" s="121" t="s">
        <v>404</v>
      </c>
      <c r="P2343" s="404">
        <v>-130650375</v>
      </c>
      <c r="Q2343" s="404"/>
      <c r="R2343" s="404"/>
      <c r="S2343" s="404"/>
      <c r="T2343" s="404"/>
      <c r="U2343" s="404"/>
      <c r="V2343" s="23"/>
    </row>
    <row r="2344" spans="1:22" s="16" customFormat="1" ht="21" customHeight="1" x14ac:dyDescent="0.2">
      <c r="A2344" s="21"/>
      <c r="B2344" s="6"/>
      <c r="C2344" s="97"/>
      <c r="D2344" s="97"/>
      <c r="E2344" s="97"/>
      <c r="F2344" s="97"/>
      <c r="G2344" s="97"/>
      <c r="H2344" s="97"/>
      <c r="I2344" s="97"/>
      <c r="J2344" s="97"/>
      <c r="K2344" s="97"/>
      <c r="L2344" s="97"/>
      <c r="M2344" s="97"/>
      <c r="N2344" s="97"/>
      <c r="O2344" s="121"/>
      <c r="P2344" s="329"/>
      <c r="Q2344" s="329"/>
      <c r="R2344" s="329"/>
      <c r="S2344" s="329"/>
      <c r="T2344" s="329"/>
      <c r="U2344" s="329"/>
      <c r="V2344" s="23"/>
    </row>
    <row r="2345" spans="1:22" s="16" customFormat="1" ht="21" customHeight="1" x14ac:dyDescent="0.2">
      <c r="A2345" s="21"/>
      <c r="B2345" s="6"/>
      <c r="C2345" s="97"/>
      <c r="D2345" s="97"/>
      <c r="E2345" s="97"/>
      <c r="F2345" s="97"/>
      <c r="G2345" s="97"/>
      <c r="H2345" s="97"/>
      <c r="I2345" s="97"/>
      <c r="J2345" s="97"/>
      <c r="K2345" s="97"/>
      <c r="L2345" s="97"/>
      <c r="M2345" s="97"/>
      <c r="N2345" s="97"/>
      <c r="O2345" s="121"/>
      <c r="P2345" s="329"/>
      <c r="Q2345" s="329"/>
      <c r="R2345" s="329"/>
      <c r="S2345" s="329"/>
      <c r="T2345" s="329"/>
      <c r="U2345" s="329"/>
      <c r="V2345" s="23"/>
    </row>
    <row r="2346" spans="1:22" s="16" customFormat="1" ht="21" customHeight="1" x14ac:dyDescent="0.2">
      <c r="A2346" s="21"/>
      <c r="B2346" s="6"/>
      <c r="C2346" s="97"/>
      <c r="D2346" s="97"/>
      <c r="E2346" s="97"/>
      <c r="F2346" s="97"/>
      <c r="G2346" s="97"/>
      <c r="H2346" s="97"/>
      <c r="I2346" s="97"/>
      <c r="J2346" s="97"/>
      <c r="K2346" s="97"/>
      <c r="L2346" s="97"/>
      <c r="M2346" s="97"/>
      <c r="N2346" s="97"/>
      <c r="O2346" s="121"/>
      <c r="P2346" s="329"/>
      <c r="Q2346" s="329"/>
      <c r="R2346" s="329"/>
      <c r="S2346" s="329"/>
      <c r="T2346" s="329"/>
      <c r="U2346" s="329"/>
      <c r="V2346" s="23"/>
    </row>
    <row r="2347" spans="1:22" s="16" customFormat="1" ht="21" customHeight="1" x14ac:dyDescent="0.2">
      <c r="A2347" s="21"/>
      <c r="B2347" s="6"/>
      <c r="C2347" s="97"/>
      <c r="D2347" s="97"/>
      <c r="E2347" s="97"/>
      <c r="F2347" s="97"/>
      <c r="G2347" s="97"/>
      <c r="H2347" s="97"/>
      <c r="I2347" s="97"/>
      <c r="J2347" s="97"/>
      <c r="K2347" s="97"/>
      <c r="L2347" s="97"/>
      <c r="M2347" s="97"/>
      <c r="N2347" s="97"/>
      <c r="O2347" s="121"/>
      <c r="P2347" s="329"/>
      <c r="Q2347" s="329"/>
      <c r="R2347" s="329"/>
      <c r="S2347" s="329"/>
      <c r="T2347" s="329"/>
      <c r="U2347" s="329"/>
      <c r="V2347" s="23"/>
    </row>
    <row r="2348" spans="1:22" s="16" customFormat="1" ht="21" customHeight="1" x14ac:dyDescent="0.2">
      <c r="A2348" s="21"/>
      <c r="B2348" s="6"/>
      <c r="C2348" s="97"/>
      <c r="D2348" s="97"/>
      <c r="E2348" s="97"/>
      <c r="F2348" s="97"/>
      <c r="G2348" s="97"/>
      <c r="H2348" s="97"/>
      <c r="I2348" s="97"/>
      <c r="J2348" s="97"/>
      <c r="K2348" s="97"/>
      <c r="L2348" s="97"/>
      <c r="M2348" s="97"/>
      <c r="N2348" s="97"/>
      <c r="O2348" s="121"/>
      <c r="P2348" s="329"/>
      <c r="Q2348" s="329"/>
      <c r="R2348" s="329"/>
      <c r="S2348" s="329"/>
      <c r="T2348" s="329"/>
      <c r="U2348" s="329"/>
      <c r="V2348" s="23"/>
    </row>
    <row r="2349" spans="1:22" s="16" customFormat="1" ht="21" customHeight="1" x14ac:dyDescent="0.2">
      <c r="A2349" s="21"/>
      <c r="B2349" s="6"/>
      <c r="C2349" s="97"/>
      <c r="D2349" s="97"/>
      <c r="E2349" s="97"/>
      <c r="F2349" s="97"/>
      <c r="G2349" s="97"/>
      <c r="H2349" s="97"/>
      <c r="I2349" s="97"/>
      <c r="J2349" s="97"/>
      <c r="K2349" s="97"/>
      <c r="L2349" s="97"/>
      <c r="M2349" s="97"/>
      <c r="N2349" s="97"/>
      <c r="O2349" s="121"/>
      <c r="P2349" s="329"/>
      <c r="Q2349" s="329"/>
      <c r="R2349" s="329"/>
      <c r="S2349" s="329"/>
      <c r="T2349" s="329"/>
      <c r="U2349" s="329"/>
      <c r="V2349" s="23"/>
    </row>
    <row r="2350" spans="1:22" s="16" customFormat="1" ht="21" customHeight="1" x14ac:dyDescent="0.2">
      <c r="A2350" s="21"/>
      <c r="B2350" s="6"/>
      <c r="C2350" s="97"/>
      <c r="D2350" s="97"/>
      <c r="E2350" s="97"/>
      <c r="F2350" s="97"/>
      <c r="G2350" s="97"/>
      <c r="H2350" s="97"/>
      <c r="I2350" s="97"/>
      <c r="J2350" s="97"/>
      <c r="K2350" s="97"/>
      <c r="L2350" s="97"/>
      <c r="M2350" s="97"/>
      <c r="N2350" s="97"/>
      <c r="O2350" s="121"/>
      <c r="P2350" s="329"/>
      <c r="Q2350" s="329"/>
      <c r="R2350" s="329"/>
      <c r="S2350" s="329"/>
      <c r="T2350" s="329"/>
      <c r="U2350" s="329"/>
      <c r="V2350" s="23"/>
    </row>
    <row r="2351" spans="1:22" s="16" customFormat="1" ht="21" customHeight="1" x14ac:dyDescent="0.2">
      <c r="A2351" s="21"/>
      <c r="B2351" s="6"/>
      <c r="C2351" s="97"/>
      <c r="D2351" s="97"/>
      <c r="E2351" s="97"/>
      <c r="F2351" s="97"/>
      <c r="G2351" s="97"/>
      <c r="H2351" s="97"/>
      <c r="I2351" s="97"/>
      <c r="J2351" s="97"/>
      <c r="K2351" s="97"/>
      <c r="L2351" s="97"/>
      <c r="M2351" s="97"/>
      <c r="N2351" s="97"/>
      <c r="O2351" s="121"/>
      <c r="P2351" s="329"/>
      <c r="Q2351" s="329"/>
      <c r="R2351" s="329"/>
      <c r="S2351" s="329"/>
      <c r="T2351" s="329"/>
      <c r="U2351" s="329"/>
      <c r="V2351" s="23"/>
    </row>
    <row r="2352" spans="1:22" s="16" customFormat="1" ht="21" customHeight="1" x14ac:dyDescent="0.2">
      <c r="A2352" s="21"/>
      <c r="B2352" s="6"/>
      <c r="C2352" s="97"/>
      <c r="D2352" s="97"/>
      <c r="E2352" s="97"/>
      <c r="F2352" s="97"/>
      <c r="G2352" s="97"/>
      <c r="H2352" s="97"/>
      <c r="I2352" s="97"/>
      <c r="J2352" s="97"/>
      <c r="K2352" s="97"/>
      <c r="L2352" s="97"/>
      <c r="M2352" s="97"/>
      <c r="N2352" s="97"/>
      <c r="O2352" s="121"/>
      <c r="P2352" s="329"/>
      <c r="Q2352" s="329"/>
      <c r="R2352" s="329"/>
      <c r="S2352" s="329"/>
      <c r="T2352" s="329"/>
      <c r="U2352" s="329"/>
      <c r="V2352" s="23"/>
    </row>
    <row r="2353" spans="1:22" s="16" customFormat="1" ht="21" customHeight="1" x14ac:dyDescent="0.2">
      <c r="A2353" s="21"/>
      <c r="B2353" s="6"/>
      <c r="C2353" s="97"/>
      <c r="D2353" s="97"/>
      <c r="E2353" s="97"/>
      <c r="F2353" s="97"/>
      <c r="G2353" s="97"/>
      <c r="H2353" s="97"/>
      <c r="I2353" s="97"/>
      <c r="J2353" s="97"/>
      <c r="K2353" s="97"/>
      <c r="L2353" s="97"/>
      <c r="M2353" s="97"/>
      <c r="N2353" s="97"/>
      <c r="O2353" s="121"/>
      <c r="P2353" s="329"/>
      <c r="Q2353" s="329"/>
      <c r="R2353" s="329"/>
      <c r="S2353" s="329"/>
      <c r="T2353" s="329"/>
      <c r="U2353" s="329"/>
      <c r="V2353" s="23"/>
    </row>
    <row r="2354" spans="1:22" s="16" customFormat="1" ht="21" customHeight="1" x14ac:dyDescent="0.2">
      <c r="A2354" s="21"/>
      <c r="B2354" s="6"/>
      <c r="C2354" s="97"/>
      <c r="D2354" s="97"/>
      <c r="E2354" s="97"/>
      <c r="F2354" s="97"/>
      <c r="G2354" s="97"/>
      <c r="H2354" s="97"/>
      <c r="I2354" s="97"/>
      <c r="J2354" s="97"/>
      <c r="K2354" s="97"/>
      <c r="L2354" s="97"/>
      <c r="M2354" s="97"/>
      <c r="N2354" s="97"/>
      <c r="O2354" s="121"/>
      <c r="P2354" s="329"/>
      <c r="Q2354" s="329"/>
      <c r="R2354" s="329"/>
      <c r="S2354" s="329"/>
      <c r="T2354" s="329"/>
      <c r="U2354" s="329"/>
      <c r="V2354" s="23"/>
    </row>
    <row r="2355" spans="1:22" s="16" customFormat="1" ht="21" customHeight="1" x14ac:dyDescent="0.2">
      <c r="A2355" s="21"/>
      <c r="B2355" s="6"/>
      <c r="C2355" s="97"/>
      <c r="D2355" s="97"/>
      <c r="E2355" s="97"/>
      <c r="F2355" s="97"/>
      <c r="G2355" s="97"/>
      <c r="H2355" s="97"/>
      <c r="I2355" s="97"/>
      <c r="J2355" s="97"/>
      <c r="K2355" s="97"/>
      <c r="L2355" s="97"/>
      <c r="M2355" s="97"/>
      <c r="N2355" s="97"/>
      <c r="O2355" s="121"/>
      <c r="P2355" s="329"/>
      <c r="Q2355" s="329"/>
      <c r="R2355" s="329"/>
      <c r="S2355" s="329"/>
      <c r="T2355" s="329"/>
      <c r="U2355" s="329"/>
      <c r="V2355" s="23"/>
    </row>
    <row r="2356" spans="1:22" s="16" customFormat="1" ht="21" customHeight="1" x14ac:dyDescent="0.2">
      <c r="A2356" s="21"/>
      <c r="B2356" s="6"/>
      <c r="C2356" s="97"/>
      <c r="D2356" s="97"/>
      <c r="E2356" s="97"/>
      <c r="F2356" s="97"/>
      <c r="G2356" s="97"/>
      <c r="H2356" s="97"/>
      <c r="I2356" s="97"/>
      <c r="J2356" s="97"/>
      <c r="K2356" s="97"/>
      <c r="L2356" s="97"/>
      <c r="M2356" s="97"/>
      <c r="N2356" s="97"/>
      <c r="O2356" s="121"/>
      <c r="P2356" s="329"/>
      <c r="Q2356" s="329"/>
      <c r="R2356" s="329"/>
      <c r="S2356" s="329"/>
      <c r="T2356" s="329"/>
      <c r="U2356" s="329"/>
      <c r="V2356" s="23"/>
    </row>
    <row r="2357" spans="1:22" s="16" customFormat="1" ht="21" customHeight="1" x14ac:dyDescent="0.2">
      <c r="A2357" s="21"/>
      <c r="B2357" s="6"/>
      <c r="C2357" s="97"/>
      <c r="D2357" s="97"/>
      <c r="E2357" s="97"/>
      <c r="F2357" s="97"/>
      <c r="G2357" s="97"/>
      <c r="H2357" s="97"/>
      <c r="I2357" s="97"/>
      <c r="J2357" s="97"/>
      <c r="K2357" s="97"/>
      <c r="L2357" s="97"/>
      <c r="M2357" s="97"/>
      <c r="N2357" s="97"/>
      <c r="O2357" s="121"/>
      <c r="P2357" s="329"/>
      <c r="Q2357" s="329"/>
      <c r="R2357" s="329"/>
      <c r="S2357" s="329"/>
      <c r="T2357" s="329"/>
      <c r="U2357" s="329"/>
      <c r="V2357" s="23"/>
    </row>
    <row r="2358" spans="1:22" s="16" customFormat="1" ht="21" customHeight="1" x14ac:dyDescent="0.2">
      <c r="A2358" s="21"/>
      <c r="B2358" s="6"/>
      <c r="C2358" s="97"/>
      <c r="D2358" s="97"/>
      <c r="E2358" s="97"/>
      <c r="F2358" s="97"/>
      <c r="G2358" s="97"/>
      <c r="H2358" s="97"/>
      <c r="I2358" s="97"/>
      <c r="J2358" s="97"/>
      <c r="K2358" s="97"/>
      <c r="L2358" s="97"/>
      <c r="M2358" s="97"/>
      <c r="N2358" s="97"/>
      <c r="O2358" s="121"/>
      <c r="P2358" s="329"/>
      <c r="Q2358" s="329"/>
      <c r="R2358" s="329"/>
      <c r="S2358" s="329"/>
      <c r="T2358" s="329"/>
      <c r="U2358" s="329"/>
      <c r="V2358" s="23"/>
    </row>
    <row r="2359" spans="1:22" s="16" customFormat="1" ht="21" customHeight="1" x14ac:dyDescent="0.2">
      <c r="A2359" s="21"/>
      <c r="B2359" s="6"/>
      <c r="C2359" s="97"/>
      <c r="D2359" s="97"/>
      <c r="E2359" s="97"/>
      <c r="F2359" s="97"/>
      <c r="G2359" s="97"/>
      <c r="H2359" s="97"/>
      <c r="I2359" s="97"/>
      <c r="J2359" s="97"/>
      <c r="K2359" s="97"/>
      <c r="L2359" s="97"/>
      <c r="M2359" s="97"/>
      <c r="N2359" s="97"/>
      <c r="O2359" s="121"/>
      <c r="P2359" s="329"/>
      <c r="Q2359" s="329"/>
      <c r="R2359" s="329"/>
      <c r="S2359" s="329"/>
      <c r="T2359" s="329"/>
      <c r="U2359" s="329"/>
      <c r="V2359" s="23"/>
    </row>
    <row r="2360" spans="1:22" s="16" customFormat="1" ht="21" customHeight="1" x14ac:dyDescent="0.2">
      <c r="A2360" s="21"/>
      <c r="B2360" s="6"/>
      <c r="C2360" s="97"/>
      <c r="D2360" s="97"/>
      <c r="E2360" s="97"/>
      <c r="F2360" s="97"/>
      <c r="G2360" s="97"/>
      <c r="H2360" s="97"/>
      <c r="I2360" s="97"/>
      <c r="J2360" s="97"/>
      <c r="K2360" s="97"/>
      <c r="L2360" s="97"/>
      <c r="M2360" s="97"/>
      <c r="N2360" s="97"/>
      <c r="O2360" s="121"/>
      <c r="P2360" s="329"/>
      <c r="Q2360" s="329"/>
      <c r="R2360" s="329"/>
      <c r="S2360" s="329"/>
      <c r="T2360" s="329"/>
      <c r="U2360" s="329"/>
      <c r="V2360" s="23"/>
    </row>
    <row r="2361" spans="1:22" s="16" customFormat="1" ht="21" customHeight="1" x14ac:dyDescent="0.2">
      <c r="A2361" s="21"/>
      <c r="B2361" s="6"/>
      <c r="C2361" s="97"/>
      <c r="D2361" s="97"/>
      <c r="E2361" s="97"/>
      <c r="F2361" s="97"/>
      <c r="G2361" s="97"/>
      <c r="H2361" s="97"/>
      <c r="I2361" s="97"/>
      <c r="J2361" s="97"/>
      <c r="K2361" s="97"/>
      <c r="L2361" s="97"/>
      <c r="M2361" s="97"/>
      <c r="N2361" s="97"/>
      <c r="O2361" s="121"/>
      <c r="P2361" s="329"/>
      <c r="Q2361" s="329"/>
      <c r="R2361" s="329"/>
      <c r="S2361" s="329"/>
      <c r="T2361" s="329"/>
      <c r="U2361" s="329"/>
      <c r="V2361" s="23"/>
    </row>
    <row r="2362" spans="1:22" s="16" customFormat="1" ht="21" customHeight="1" x14ac:dyDescent="0.2">
      <c r="A2362" s="21"/>
      <c r="B2362" s="6"/>
      <c r="C2362" s="97"/>
      <c r="D2362" s="97"/>
      <c r="E2362" s="97"/>
      <c r="F2362" s="97"/>
      <c r="G2362" s="97"/>
      <c r="H2362" s="97"/>
      <c r="I2362" s="97"/>
      <c r="J2362" s="97"/>
      <c r="K2362" s="97"/>
      <c r="L2362" s="97"/>
      <c r="M2362" s="97"/>
      <c r="N2362" s="97"/>
      <c r="O2362" s="121"/>
      <c r="P2362" s="329"/>
      <c r="Q2362" s="329"/>
      <c r="R2362" s="329"/>
      <c r="S2362" s="329"/>
      <c r="T2362" s="329"/>
      <c r="U2362" s="329"/>
      <c r="V2362" s="23"/>
    </row>
    <row r="2363" spans="1:22" s="16" customFormat="1" ht="15.75" customHeight="1" x14ac:dyDescent="0.25">
      <c r="A2363" s="14"/>
      <c r="B2363" s="399" t="s">
        <v>947</v>
      </c>
      <c r="C2363" s="399"/>
      <c r="D2363" s="399"/>
      <c r="E2363" s="399"/>
      <c r="F2363" s="399"/>
      <c r="G2363" s="399"/>
      <c r="H2363" s="399"/>
      <c r="I2363" s="399"/>
      <c r="J2363" s="399"/>
      <c r="K2363" s="399"/>
      <c r="L2363" s="399"/>
      <c r="M2363" s="399"/>
      <c r="N2363" s="399"/>
      <c r="O2363" s="399"/>
      <c r="P2363" s="399"/>
      <c r="Q2363" s="399"/>
      <c r="R2363" s="399"/>
      <c r="S2363" s="399"/>
      <c r="T2363" s="399"/>
      <c r="U2363" s="399"/>
      <c r="V2363" s="23"/>
    </row>
    <row r="2364" spans="1:22" s="16" customFormat="1" ht="15.75" customHeight="1" x14ac:dyDescent="0.25">
      <c r="A2364" s="14"/>
      <c r="B2364" s="399" t="s">
        <v>948</v>
      </c>
      <c r="C2364" s="399"/>
      <c r="D2364" s="399"/>
      <c r="E2364" s="399"/>
      <c r="F2364" s="399"/>
      <c r="G2364" s="399"/>
      <c r="H2364" s="399"/>
      <c r="I2364" s="399"/>
      <c r="J2364" s="399"/>
      <c r="K2364" s="399"/>
      <c r="L2364" s="399"/>
      <c r="M2364" s="399"/>
      <c r="N2364" s="399"/>
      <c r="O2364" s="399"/>
      <c r="P2364" s="399"/>
      <c r="Q2364" s="399"/>
      <c r="R2364" s="399"/>
      <c r="S2364" s="399"/>
      <c r="T2364" s="399"/>
      <c r="U2364" s="399"/>
      <c r="V2364" s="23"/>
    </row>
    <row r="2365" spans="1:22" s="16" customFormat="1" ht="15.75" customHeight="1" x14ac:dyDescent="0.25">
      <c r="A2365" s="14"/>
      <c r="B2365" s="330"/>
      <c r="C2365" s="330"/>
      <c r="D2365" s="330"/>
      <c r="E2365" s="330"/>
      <c r="F2365" s="330"/>
      <c r="G2365" s="330"/>
      <c r="H2365" s="330"/>
      <c r="I2365" s="330"/>
      <c r="J2365" s="330"/>
      <c r="K2365" s="330"/>
      <c r="L2365" s="330"/>
      <c r="M2365" s="330"/>
      <c r="N2365" s="330"/>
      <c r="O2365" s="330"/>
      <c r="P2365" s="330"/>
      <c r="Q2365" s="330"/>
      <c r="R2365" s="330"/>
      <c r="S2365" s="330"/>
      <c r="T2365" s="330"/>
      <c r="U2365" s="330"/>
      <c r="V2365" s="23"/>
    </row>
    <row r="2366" spans="1:22" s="16" customFormat="1" ht="15.75" customHeight="1" x14ac:dyDescent="0.25">
      <c r="A2366" s="14"/>
      <c r="B2366" s="330"/>
      <c r="C2366" s="330"/>
      <c r="D2366" s="330"/>
      <c r="E2366" s="330"/>
      <c r="F2366" s="330"/>
      <c r="G2366" s="330"/>
      <c r="H2366" s="330"/>
      <c r="I2366" s="330"/>
      <c r="J2366" s="330"/>
      <c r="K2366" s="330"/>
      <c r="L2366" s="330"/>
      <c r="M2366" s="330"/>
      <c r="N2366" s="330"/>
      <c r="O2366" s="330"/>
      <c r="P2366" s="330"/>
      <c r="Q2366" s="330"/>
      <c r="R2366" s="330"/>
      <c r="S2366" s="330"/>
      <c r="T2366" s="330"/>
      <c r="U2366" s="330"/>
      <c r="V2366" s="23"/>
    </row>
    <row r="2367" spans="1:22" s="16" customFormat="1" ht="15.75" customHeight="1" x14ac:dyDescent="0.25">
      <c r="A2367" s="14"/>
      <c r="B2367" s="330"/>
      <c r="C2367" s="330"/>
      <c r="D2367" s="330"/>
      <c r="E2367" s="330"/>
      <c r="F2367" s="330"/>
      <c r="G2367" s="330"/>
      <c r="H2367" s="330"/>
      <c r="I2367" s="330"/>
      <c r="J2367" s="330"/>
      <c r="K2367" s="330"/>
      <c r="L2367" s="330"/>
      <c r="M2367" s="330"/>
      <c r="N2367" s="330"/>
      <c r="O2367" s="330"/>
      <c r="P2367" s="330"/>
      <c r="Q2367" s="330"/>
      <c r="R2367" s="330"/>
      <c r="S2367" s="330"/>
      <c r="T2367" s="330"/>
      <c r="U2367" s="330"/>
      <c r="V2367" s="23"/>
    </row>
    <row r="2368" spans="1:22" s="16" customFormat="1" ht="15.75" customHeight="1" x14ac:dyDescent="0.25">
      <c r="A2368" s="14"/>
      <c r="B2368" s="330"/>
      <c r="C2368" s="330"/>
      <c r="D2368" s="330"/>
      <c r="E2368" s="330"/>
      <c r="F2368" s="330"/>
      <c r="G2368" s="330"/>
      <c r="H2368" s="330"/>
      <c r="I2368" s="330"/>
      <c r="J2368" s="330"/>
      <c r="K2368" s="330"/>
      <c r="L2368" s="330"/>
      <c r="M2368" s="330"/>
      <c r="N2368" s="330"/>
      <c r="O2368" s="330"/>
      <c r="P2368" s="330"/>
      <c r="Q2368" s="330"/>
      <c r="R2368" s="330"/>
      <c r="S2368" s="330"/>
      <c r="T2368" s="330"/>
      <c r="U2368" s="330"/>
      <c r="V2368" s="23"/>
    </row>
    <row r="2369" spans="1:22" s="16" customFormat="1" ht="15.75" customHeight="1" x14ac:dyDescent="0.25">
      <c r="A2369" s="14"/>
      <c r="B2369" s="330"/>
      <c r="C2369" s="330"/>
      <c r="D2369" s="330"/>
      <c r="E2369" s="330"/>
      <c r="F2369" s="330"/>
      <c r="G2369" s="330"/>
      <c r="H2369" s="330"/>
      <c r="I2369" s="330"/>
      <c r="J2369" s="330"/>
      <c r="K2369" s="330"/>
      <c r="L2369" s="330"/>
      <c r="M2369" s="330"/>
      <c r="N2369" s="330"/>
      <c r="O2369" s="330"/>
      <c r="P2369" s="330"/>
      <c r="Q2369" s="330"/>
      <c r="R2369" s="330"/>
      <c r="S2369" s="330"/>
      <c r="T2369" s="330"/>
      <c r="U2369" s="330"/>
      <c r="V2369" s="23"/>
    </row>
    <row r="2370" spans="1:22" s="16" customFormat="1" ht="15.75" customHeight="1" x14ac:dyDescent="0.25">
      <c r="A2370" s="14"/>
      <c r="B2370" s="330"/>
      <c r="C2370" s="330"/>
      <c r="D2370" s="330"/>
      <c r="E2370" s="330"/>
      <c r="F2370" s="330"/>
      <c r="G2370" s="330"/>
      <c r="H2370" s="330"/>
      <c r="I2370" s="330"/>
      <c r="J2370" s="330"/>
      <c r="K2370" s="330"/>
      <c r="L2370" s="330"/>
      <c r="M2370" s="330"/>
      <c r="N2370" s="330"/>
      <c r="O2370" s="330"/>
      <c r="P2370" s="330"/>
      <c r="Q2370" s="330"/>
      <c r="R2370" s="330"/>
      <c r="S2370" s="330"/>
      <c r="T2370" s="330"/>
      <c r="U2370" s="330"/>
      <c r="V2370" s="23"/>
    </row>
    <row r="2371" spans="1:22" s="16" customFormat="1" ht="15.75" customHeight="1" x14ac:dyDescent="0.25">
      <c r="A2371" s="14"/>
      <c r="B2371" s="330"/>
      <c r="C2371" s="330"/>
      <c r="D2371" s="330"/>
      <c r="E2371" s="330"/>
      <c r="F2371" s="330"/>
      <c r="G2371" s="330"/>
      <c r="H2371" s="330"/>
      <c r="I2371" s="330"/>
      <c r="J2371" s="330"/>
      <c r="K2371" s="330"/>
      <c r="L2371" s="330"/>
      <c r="M2371" s="330"/>
      <c r="N2371" s="330"/>
      <c r="O2371" s="330"/>
      <c r="P2371" s="330"/>
      <c r="Q2371" s="330"/>
      <c r="R2371" s="330"/>
      <c r="S2371" s="330"/>
      <c r="T2371" s="330"/>
      <c r="U2371" s="330"/>
      <c r="V2371" s="23"/>
    </row>
    <row r="2372" spans="1:22" s="16" customFormat="1" ht="15.75" customHeight="1" x14ac:dyDescent="0.25">
      <c r="A2372" s="14"/>
      <c r="B2372" s="330"/>
      <c r="C2372" s="330"/>
      <c r="D2372" s="330"/>
      <c r="E2372" s="330"/>
      <c r="F2372" s="330"/>
      <c r="G2372" s="330"/>
      <c r="H2372" s="330"/>
      <c r="I2372" s="330"/>
      <c r="J2372" s="330"/>
      <c r="K2372" s="330"/>
      <c r="L2372" s="330"/>
      <c r="M2372" s="330"/>
      <c r="N2372" s="330"/>
      <c r="O2372" s="330"/>
      <c r="P2372" s="330"/>
      <c r="Q2372" s="330"/>
      <c r="R2372" s="330"/>
      <c r="S2372" s="330"/>
      <c r="T2372" s="330"/>
      <c r="U2372" s="330"/>
      <c r="V2372" s="23"/>
    </row>
    <row r="2373" spans="1:22" s="16" customFormat="1" ht="15.75" customHeight="1" x14ac:dyDescent="0.25">
      <c r="A2373" s="14"/>
      <c r="B2373" s="330"/>
      <c r="C2373" s="330"/>
      <c r="D2373" s="330"/>
      <c r="E2373" s="330"/>
      <c r="F2373" s="330"/>
      <c r="G2373" s="330"/>
      <c r="H2373" s="330"/>
      <c r="I2373" s="330"/>
      <c r="J2373" s="330"/>
      <c r="K2373" s="330"/>
      <c r="L2373" s="330"/>
      <c r="M2373" s="330"/>
      <c r="N2373" s="330"/>
      <c r="O2373" s="330"/>
      <c r="P2373" s="330"/>
      <c r="Q2373" s="330"/>
      <c r="R2373" s="330"/>
      <c r="S2373" s="330"/>
      <c r="T2373" s="330"/>
      <c r="U2373" s="330"/>
      <c r="V2373" s="23"/>
    </row>
    <row r="2374" spans="1:22" s="16" customFormat="1" ht="15.75" customHeight="1" x14ac:dyDescent="0.25">
      <c r="A2374" s="14"/>
      <c r="B2374" s="330"/>
      <c r="C2374" s="330"/>
      <c r="D2374" s="330"/>
      <c r="E2374" s="330"/>
      <c r="F2374" s="330"/>
      <c r="G2374" s="330"/>
      <c r="H2374" s="330"/>
      <c r="I2374" s="330"/>
      <c r="J2374" s="330"/>
      <c r="K2374" s="330"/>
      <c r="L2374" s="330"/>
      <c r="M2374" s="330"/>
      <c r="N2374" s="330"/>
      <c r="O2374" s="330"/>
      <c r="P2374" s="330"/>
      <c r="Q2374" s="330"/>
      <c r="R2374" s="330"/>
      <c r="S2374" s="330"/>
      <c r="T2374" s="330"/>
      <c r="U2374" s="330"/>
      <c r="V2374" s="23"/>
    </row>
    <row r="2375" spans="1:22" s="16" customFormat="1" ht="15.75" customHeight="1" x14ac:dyDescent="0.25">
      <c r="A2375" s="14"/>
      <c r="B2375" s="330"/>
      <c r="C2375" s="330"/>
      <c r="D2375" s="330"/>
      <c r="E2375" s="330"/>
      <c r="F2375" s="330"/>
      <c r="G2375" s="330"/>
      <c r="H2375" s="330"/>
      <c r="I2375" s="330"/>
      <c r="J2375" s="330"/>
      <c r="K2375" s="330"/>
      <c r="L2375" s="330"/>
      <c r="M2375" s="330"/>
      <c r="N2375" s="330"/>
      <c r="O2375" s="330"/>
      <c r="P2375" s="330"/>
      <c r="Q2375" s="330"/>
      <c r="R2375" s="330"/>
      <c r="S2375" s="330"/>
      <c r="T2375" s="330"/>
      <c r="U2375" s="330"/>
      <c r="V2375" s="23"/>
    </row>
    <row r="2376" spans="1:22" s="16" customFormat="1" ht="15.75" customHeight="1" x14ac:dyDescent="0.25">
      <c r="A2376" s="14"/>
      <c r="B2376" s="330"/>
      <c r="C2376" s="330"/>
      <c r="D2376" s="330"/>
      <c r="E2376" s="330"/>
      <c r="F2376" s="330"/>
      <c r="G2376" s="330"/>
      <c r="H2376" s="330"/>
      <c r="I2376" s="330"/>
      <c r="J2376" s="330"/>
      <c r="K2376" s="330"/>
      <c r="L2376" s="330"/>
      <c r="M2376" s="330"/>
      <c r="N2376" s="330"/>
      <c r="O2376" s="330"/>
      <c r="P2376" s="330"/>
      <c r="Q2376" s="330"/>
      <c r="R2376" s="330"/>
      <c r="S2376" s="330"/>
      <c r="T2376" s="330"/>
      <c r="U2376" s="330"/>
      <c r="V2376" s="23"/>
    </row>
    <row r="2377" spans="1:22" s="16" customFormat="1" ht="15.75" customHeight="1" x14ac:dyDescent="0.25">
      <c r="A2377" s="14"/>
      <c r="B2377" s="330"/>
      <c r="C2377" s="330"/>
      <c r="D2377" s="330"/>
      <c r="E2377" s="330"/>
      <c r="F2377" s="330"/>
      <c r="G2377" s="330"/>
      <c r="H2377" s="330"/>
      <c r="I2377" s="330"/>
      <c r="J2377" s="330"/>
      <c r="K2377" s="330"/>
      <c r="L2377" s="330"/>
      <c r="M2377" s="330"/>
      <c r="N2377" s="330"/>
      <c r="O2377" s="330"/>
      <c r="P2377" s="330"/>
      <c r="Q2377" s="330"/>
      <c r="R2377" s="330"/>
      <c r="S2377" s="330"/>
      <c r="T2377" s="330"/>
      <c r="U2377" s="330"/>
      <c r="V2377" s="23"/>
    </row>
    <row r="2378" spans="1:22" s="16" customFormat="1" ht="15.75" customHeight="1" x14ac:dyDescent="0.25">
      <c r="A2378" s="14"/>
      <c r="B2378" s="330"/>
      <c r="C2378" s="330"/>
      <c r="D2378" s="330"/>
      <c r="E2378" s="330"/>
      <c r="F2378" s="330"/>
      <c r="G2378" s="330"/>
      <c r="H2378" s="330"/>
      <c r="I2378" s="330"/>
      <c r="J2378" s="330"/>
      <c r="K2378" s="330"/>
      <c r="L2378" s="330"/>
      <c r="M2378" s="330"/>
      <c r="N2378" s="330"/>
      <c r="O2378" s="330"/>
      <c r="P2378" s="330"/>
      <c r="Q2378" s="330"/>
      <c r="R2378" s="330"/>
      <c r="S2378" s="330"/>
      <c r="T2378" s="330"/>
      <c r="U2378" s="330"/>
      <c r="V2378" s="23"/>
    </row>
    <row r="2379" spans="1:22" s="16" customFormat="1" ht="15.75" customHeight="1" x14ac:dyDescent="0.25">
      <c r="A2379" s="14"/>
      <c r="B2379" s="330"/>
      <c r="C2379" s="330"/>
      <c r="D2379" s="330"/>
      <c r="E2379" s="330"/>
      <c r="F2379" s="330"/>
      <c r="G2379" s="330"/>
      <c r="H2379" s="330"/>
      <c r="I2379" s="330"/>
      <c r="J2379" s="330"/>
      <c r="K2379" s="330"/>
      <c r="L2379" s="330"/>
      <c r="M2379" s="330"/>
      <c r="N2379" s="330"/>
      <c r="O2379" s="330"/>
      <c r="P2379" s="330"/>
      <c r="Q2379" s="330"/>
      <c r="R2379" s="330"/>
      <c r="S2379" s="330"/>
      <c r="T2379" s="330"/>
      <c r="U2379" s="330"/>
      <c r="V2379" s="23"/>
    </row>
    <row r="2380" spans="1:22" s="16" customFormat="1" ht="15.75" customHeight="1" x14ac:dyDescent="0.25">
      <c r="A2380" s="14"/>
      <c r="B2380" s="330"/>
      <c r="C2380" s="330"/>
      <c r="D2380" s="330"/>
      <c r="E2380" s="330"/>
      <c r="F2380" s="330"/>
      <c r="G2380" s="330"/>
      <c r="H2380" s="330"/>
      <c r="I2380" s="330"/>
      <c r="J2380" s="330"/>
      <c r="K2380" s="330"/>
      <c r="L2380" s="330"/>
      <c r="M2380" s="330"/>
      <c r="N2380" s="330"/>
      <c r="O2380" s="330"/>
      <c r="P2380" s="330"/>
      <c r="Q2380" s="330"/>
      <c r="R2380" s="330"/>
      <c r="S2380" s="330"/>
      <c r="T2380" s="330"/>
      <c r="U2380" s="330"/>
      <c r="V2380" s="23"/>
    </row>
    <row r="2381" spans="1:22" s="16" customFormat="1" ht="15.75" customHeight="1" x14ac:dyDescent="0.25">
      <c r="A2381" s="14"/>
      <c r="B2381" s="330"/>
      <c r="C2381" s="330"/>
      <c r="D2381" s="330"/>
      <c r="E2381" s="330"/>
      <c r="F2381" s="330"/>
      <c r="G2381" s="330"/>
      <c r="H2381" s="330"/>
      <c r="I2381" s="330"/>
      <c r="J2381" s="330"/>
      <c r="K2381" s="330"/>
      <c r="L2381" s="330"/>
      <c r="M2381" s="330"/>
      <c r="N2381" s="330"/>
      <c r="O2381" s="330"/>
      <c r="P2381" s="330"/>
      <c r="Q2381" s="330"/>
      <c r="R2381" s="330"/>
      <c r="S2381" s="330"/>
      <c r="T2381" s="330"/>
      <c r="U2381" s="330"/>
      <c r="V2381" s="23"/>
    </row>
    <row r="2382" spans="1:22" s="16" customFormat="1" ht="15.75" customHeight="1" x14ac:dyDescent="0.25">
      <c r="A2382" s="14"/>
      <c r="B2382" s="330"/>
      <c r="C2382" s="330"/>
      <c r="D2382" s="330"/>
      <c r="E2382" s="330"/>
      <c r="F2382" s="330"/>
      <c r="G2382" s="330"/>
      <c r="H2382" s="330"/>
      <c r="I2382" s="330"/>
      <c r="J2382" s="330"/>
      <c r="K2382" s="330"/>
      <c r="L2382" s="330"/>
      <c r="M2382" s="330"/>
      <c r="N2382" s="330"/>
      <c r="O2382" s="330"/>
      <c r="P2382" s="330"/>
      <c r="Q2382" s="330"/>
      <c r="R2382" s="330"/>
      <c r="S2382" s="330"/>
      <c r="T2382" s="330"/>
      <c r="U2382" s="330"/>
      <c r="V2382" s="23"/>
    </row>
    <row r="2383" spans="1:22" s="16" customFormat="1" ht="15.75" customHeight="1" x14ac:dyDescent="0.25">
      <c r="A2383" s="14"/>
      <c r="B2383" s="330"/>
      <c r="C2383" s="330"/>
      <c r="D2383" s="330"/>
      <c r="E2383" s="330"/>
      <c r="F2383" s="330"/>
      <c r="G2383" s="330"/>
      <c r="H2383" s="330"/>
      <c r="I2383" s="330"/>
      <c r="J2383" s="330"/>
      <c r="K2383" s="330"/>
      <c r="L2383" s="330"/>
      <c r="M2383" s="330"/>
      <c r="N2383" s="330"/>
      <c r="O2383" s="330"/>
      <c r="P2383" s="330"/>
      <c r="Q2383" s="330"/>
      <c r="R2383" s="330"/>
      <c r="S2383" s="330"/>
      <c r="T2383" s="330"/>
      <c r="U2383" s="330"/>
      <c r="V2383" s="23"/>
    </row>
    <row r="2384" spans="1:22" s="16" customFormat="1" ht="15.75" customHeight="1" x14ac:dyDescent="0.25">
      <c r="A2384" s="14"/>
      <c r="B2384" s="330"/>
      <c r="C2384" s="330"/>
      <c r="D2384" s="330"/>
      <c r="E2384" s="330"/>
      <c r="F2384" s="330"/>
      <c r="G2384" s="330"/>
      <c r="H2384" s="330"/>
      <c r="I2384" s="330"/>
      <c r="J2384" s="330"/>
      <c r="K2384" s="330"/>
      <c r="L2384" s="330"/>
      <c r="M2384" s="330"/>
      <c r="N2384" s="330"/>
      <c r="O2384" s="330"/>
      <c r="P2384" s="330"/>
      <c r="Q2384" s="330"/>
      <c r="R2384" s="330"/>
      <c r="S2384" s="330"/>
      <c r="T2384" s="330"/>
      <c r="U2384" s="330"/>
      <c r="V2384" s="23"/>
    </row>
    <row r="2385" spans="1:22" s="16" customFormat="1" ht="15.75" customHeight="1" x14ac:dyDescent="0.25">
      <c r="A2385" s="14"/>
      <c r="B2385" s="330"/>
      <c r="C2385" s="330"/>
      <c r="D2385" s="330"/>
      <c r="E2385" s="330"/>
      <c r="F2385" s="330"/>
      <c r="G2385" s="330"/>
      <c r="H2385" s="330"/>
      <c r="I2385" s="330"/>
      <c r="J2385" s="330"/>
      <c r="K2385" s="330"/>
      <c r="L2385" s="330"/>
      <c r="M2385" s="330"/>
      <c r="N2385" s="330"/>
      <c r="O2385" s="330"/>
      <c r="P2385" s="330"/>
      <c r="Q2385" s="330"/>
      <c r="R2385" s="330"/>
      <c r="S2385" s="330"/>
      <c r="T2385" s="330"/>
      <c r="U2385" s="330"/>
      <c r="V2385" s="23"/>
    </row>
    <row r="2386" spans="1:22" s="16" customFormat="1" ht="15.75" customHeight="1" x14ac:dyDescent="0.25">
      <c r="A2386" s="14"/>
      <c r="B2386" s="330"/>
      <c r="C2386" s="330"/>
      <c r="D2386" s="330"/>
      <c r="E2386" s="330"/>
      <c r="F2386" s="330"/>
      <c r="G2386" s="330"/>
      <c r="H2386" s="330"/>
      <c r="I2386" s="330"/>
      <c r="J2386" s="330"/>
      <c r="K2386" s="330"/>
      <c r="L2386" s="330"/>
      <c r="M2386" s="330"/>
      <c r="N2386" s="330"/>
      <c r="O2386" s="330"/>
      <c r="P2386" s="330"/>
      <c r="Q2386" s="330"/>
      <c r="R2386" s="330"/>
      <c r="S2386" s="330"/>
      <c r="T2386" s="330"/>
      <c r="U2386" s="330"/>
      <c r="V2386" s="23"/>
    </row>
    <row r="2387" spans="1:22" s="16" customFormat="1" ht="15.75" customHeight="1" x14ac:dyDescent="0.25">
      <c r="A2387" s="14"/>
      <c r="B2387" s="330"/>
      <c r="C2387" s="330"/>
      <c r="D2387" s="330"/>
      <c r="E2387" s="330"/>
      <c r="F2387" s="330"/>
      <c r="G2387" s="330"/>
      <c r="H2387" s="330"/>
      <c r="I2387" s="330"/>
      <c r="J2387" s="330"/>
      <c r="K2387" s="330"/>
      <c r="L2387" s="330"/>
      <c r="M2387" s="330"/>
      <c r="N2387" s="330"/>
      <c r="O2387" s="330"/>
      <c r="P2387" s="330"/>
      <c r="Q2387" s="330"/>
      <c r="R2387" s="330"/>
      <c r="S2387" s="330"/>
      <c r="T2387" s="330"/>
      <c r="U2387" s="330"/>
      <c r="V2387" s="23"/>
    </row>
    <row r="2388" spans="1:22" s="16" customFormat="1" ht="15.75" customHeight="1" x14ac:dyDescent="0.25">
      <c r="A2388" s="14"/>
      <c r="B2388" s="330"/>
      <c r="C2388" s="330"/>
      <c r="D2388" s="330"/>
      <c r="E2388" s="330"/>
      <c r="F2388" s="330"/>
      <c r="G2388" s="330"/>
      <c r="H2388" s="330"/>
      <c r="I2388" s="330"/>
      <c r="J2388" s="330"/>
      <c r="K2388" s="330"/>
      <c r="L2388" s="330"/>
      <c r="M2388" s="330"/>
      <c r="N2388" s="330"/>
      <c r="O2388" s="330"/>
      <c r="P2388" s="330"/>
      <c r="Q2388" s="330"/>
      <c r="R2388" s="330"/>
      <c r="S2388" s="330"/>
      <c r="T2388" s="330"/>
      <c r="U2388" s="330"/>
      <c r="V2388" s="23"/>
    </row>
    <row r="2389" spans="1:22" s="16" customFormat="1" ht="15.75" customHeight="1" x14ac:dyDescent="0.25">
      <c r="A2389" s="14"/>
      <c r="B2389" s="330"/>
      <c r="C2389" s="330"/>
      <c r="D2389" s="330"/>
      <c r="E2389" s="330"/>
      <c r="F2389" s="330"/>
      <c r="G2389" s="330"/>
      <c r="H2389" s="330"/>
      <c r="I2389" s="330"/>
      <c r="J2389" s="330"/>
      <c r="K2389" s="330"/>
      <c r="L2389" s="330"/>
      <c r="M2389" s="330"/>
      <c r="N2389" s="330"/>
      <c r="O2389" s="330"/>
      <c r="P2389" s="330"/>
      <c r="Q2389" s="330"/>
      <c r="R2389" s="330"/>
      <c r="S2389" s="330"/>
      <c r="T2389" s="330"/>
      <c r="U2389" s="330"/>
      <c r="V2389" s="23"/>
    </row>
    <row r="2390" spans="1:22" s="16" customFormat="1" ht="15.75" customHeight="1" x14ac:dyDescent="0.25">
      <c r="A2390" s="14"/>
      <c r="B2390" s="330"/>
      <c r="C2390" s="330"/>
      <c r="D2390" s="330"/>
      <c r="E2390" s="330"/>
      <c r="F2390" s="330"/>
      <c r="G2390" s="330"/>
      <c r="H2390" s="330"/>
      <c r="I2390" s="330"/>
      <c r="J2390" s="330"/>
      <c r="K2390" s="330"/>
      <c r="L2390" s="330"/>
      <c r="M2390" s="330"/>
      <c r="N2390" s="330"/>
      <c r="O2390" s="330"/>
      <c r="P2390" s="330"/>
      <c r="Q2390" s="330"/>
      <c r="R2390" s="330"/>
      <c r="S2390" s="330"/>
      <c r="T2390" s="330"/>
      <c r="U2390" s="330"/>
      <c r="V2390" s="23"/>
    </row>
    <row r="2391" spans="1:22" s="16" customFormat="1" ht="15.75" customHeight="1" x14ac:dyDescent="0.25">
      <c r="A2391" s="14"/>
      <c r="B2391" s="330"/>
      <c r="C2391" s="330"/>
      <c r="D2391" s="330"/>
      <c r="E2391" s="330"/>
      <c r="F2391" s="330"/>
      <c r="G2391" s="330"/>
      <c r="H2391" s="330"/>
      <c r="I2391" s="330"/>
      <c r="J2391" s="330"/>
      <c r="K2391" s="330"/>
      <c r="L2391" s="330"/>
      <c r="M2391" s="330"/>
      <c r="N2391" s="330"/>
      <c r="O2391" s="330"/>
      <c r="P2391" s="330"/>
      <c r="Q2391" s="330"/>
      <c r="R2391" s="330"/>
      <c r="S2391" s="330"/>
      <c r="T2391" s="330"/>
      <c r="U2391" s="330"/>
      <c r="V2391" s="23"/>
    </row>
    <row r="2392" spans="1:22" s="16" customFormat="1" ht="15.75" customHeight="1" x14ac:dyDescent="0.25">
      <c r="A2392" s="14"/>
      <c r="B2392" s="330"/>
      <c r="C2392" s="330"/>
      <c r="D2392" s="330"/>
      <c r="E2392" s="330"/>
      <c r="F2392" s="330"/>
      <c r="G2392" s="330"/>
      <c r="H2392" s="330"/>
      <c r="I2392" s="330"/>
      <c r="J2392" s="330"/>
      <c r="K2392" s="330"/>
      <c r="L2392" s="330"/>
      <c r="M2392" s="330"/>
      <c r="N2392" s="330"/>
      <c r="O2392" s="330"/>
      <c r="P2392" s="330"/>
      <c r="Q2392" s="330"/>
      <c r="R2392" s="330"/>
      <c r="S2392" s="330"/>
      <c r="T2392" s="330"/>
      <c r="U2392" s="330"/>
      <c r="V2392" s="23"/>
    </row>
    <row r="2393" spans="1:22" s="16" customFormat="1" ht="15.75" customHeight="1" x14ac:dyDescent="0.25">
      <c r="A2393" s="14"/>
      <c r="B2393" s="330"/>
      <c r="C2393" s="330"/>
      <c r="D2393" s="330"/>
      <c r="E2393" s="330"/>
      <c r="F2393" s="330"/>
      <c r="G2393" s="330"/>
      <c r="H2393" s="330"/>
      <c r="I2393" s="330"/>
      <c r="J2393" s="330"/>
      <c r="K2393" s="330"/>
      <c r="L2393" s="330"/>
      <c r="M2393" s="330"/>
      <c r="N2393" s="330"/>
      <c r="O2393" s="330"/>
      <c r="P2393" s="330"/>
      <c r="Q2393" s="330"/>
      <c r="R2393" s="330"/>
      <c r="S2393" s="330"/>
      <c r="T2393" s="330"/>
      <c r="U2393" s="330"/>
      <c r="V2393" s="23"/>
    </row>
    <row r="2394" spans="1:22" s="16" customFormat="1" ht="15.75" customHeight="1" x14ac:dyDescent="0.25">
      <c r="A2394" s="14"/>
      <c r="B2394" s="330"/>
      <c r="C2394" s="330"/>
      <c r="D2394" s="330"/>
      <c r="E2394" s="330"/>
      <c r="F2394" s="330"/>
      <c r="G2394" s="330"/>
      <c r="H2394" s="330"/>
      <c r="I2394" s="330"/>
      <c r="J2394" s="330"/>
      <c r="K2394" s="330"/>
      <c r="L2394" s="330"/>
      <c r="M2394" s="330"/>
      <c r="N2394" s="330"/>
      <c r="O2394" s="330"/>
      <c r="P2394" s="330"/>
      <c r="Q2394" s="330"/>
      <c r="R2394" s="330"/>
      <c r="S2394" s="330"/>
      <c r="T2394" s="330"/>
      <c r="U2394" s="330"/>
      <c r="V2394" s="23"/>
    </row>
    <row r="2395" spans="1:22" s="16" customFormat="1" ht="15.75" customHeight="1" x14ac:dyDescent="0.25">
      <c r="A2395" s="14"/>
      <c r="B2395" s="330"/>
      <c r="C2395" s="330"/>
      <c r="D2395" s="330"/>
      <c r="E2395" s="330"/>
      <c r="F2395" s="330"/>
      <c r="G2395" s="330"/>
      <c r="H2395" s="330"/>
      <c r="I2395" s="330"/>
      <c r="J2395" s="330"/>
      <c r="K2395" s="330"/>
      <c r="L2395" s="330"/>
      <c r="M2395" s="330"/>
      <c r="N2395" s="330"/>
      <c r="O2395" s="330"/>
      <c r="P2395" s="330"/>
      <c r="Q2395" s="330"/>
      <c r="R2395" s="330"/>
      <c r="S2395" s="330"/>
      <c r="T2395" s="330"/>
      <c r="U2395" s="330"/>
      <c r="V2395" s="23"/>
    </row>
    <row r="2396" spans="1:22" s="16" customFormat="1" ht="15.75" customHeight="1" x14ac:dyDescent="0.25">
      <c r="A2396" s="14"/>
      <c r="B2396" s="330"/>
      <c r="C2396" s="330"/>
      <c r="D2396" s="330"/>
      <c r="E2396" s="330"/>
      <c r="F2396" s="330"/>
      <c r="G2396" s="330"/>
      <c r="H2396" s="330"/>
      <c r="I2396" s="330"/>
      <c r="J2396" s="330"/>
      <c r="K2396" s="330"/>
      <c r="L2396" s="330"/>
      <c r="M2396" s="330"/>
      <c r="N2396" s="330"/>
      <c r="O2396" s="330"/>
      <c r="P2396" s="330"/>
      <c r="Q2396" s="330"/>
      <c r="R2396" s="330"/>
      <c r="S2396" s="330"/>
      <c r="T2396" s="330"/>
      <c r="U2396" s="330"/>
      <c r="V2396" s="23"/>
    </row>
    <row r="2397" spans="1:22" s="16" customFormat="1" ht="15.75" customHeight="1" x14ac:dyDescent="0.25">
      <c r="A2397" s="14"/>
      <c r="B2397" s="330"/>
      <c r="C2397" s="330"/>
      <c r="D2397" s="330"/>
      <c r="E2397" s="330"/>
      <c r="F2397" s="330"/>
      <c r="G2397" s="330"/>
      <c r="H2397" s="330"/>
      <c r="I2397" s="330"/>
      <c r="J2397" s="330"/>
      <c r="K2397" s="330"/>
      <c r="L2397" s="330"/>
      <c r="M2397" s="330"/>
      <c r="N2397" s="330"/>
      <c r="O2397" s="330"/>
      <c r="P2397" s="330"/>
      <c r="Q2397" s="330"/>
      <c r="R2397" s="330"/>
      <c r="S2397" s="330"/>
      <c r="T2397" s="330"/>
      <c r="U2397" s="330"/>
      <c r="V2397" s="23"/>
    </row>
    <row r="2398" spans="1:22" s="16" customFormat="1" ht="15.75" customHeight="1" x14ac:dyDescent="0.25">
      <c r="A2398" s="14"/>
      <c r="B2398" s="330"/>
      <c r="C2398" s="330"/>
      <c r="D2398" s="330"/>
      <c r="E2398" s="330"/>
      <c r="F2398" s="330"/>
      <c r="G2398" s="330"/>
      <c r="H2398" s="330"/>
      <c r="I2398" s="330"/>
      <c r="J2398" s="330"/>
      <c r="K2398" s="330"/>
      <c r="L2398" s="330"/>
      <c r="M2398" s="330"/>
      <c r="N2398" s="330"/>
      <c r="O2398" s="330"/>
      <c r="P2398" s="330"/>
      <c r="Q2398" s="330"/>
      <c r="R2398" s="330"/>
      <c r="S2398" s="330"/>
      <c r="T2398" s="330"/>
      <c r="U2398" s="330"/>
      <c r="V2398" s="23"/>
    </row>
    <row r="2399" spans="1:22" s="16" customFormat="1" ht="15.75" customHeight="1" x14ac:dyDescent="0.25">
      <c r="A2399" s="14"/>
      <c r="B2399" s="330"/>
      <c r="C2399" s="330"/>
      <c r="D2399" s="330"/>
      <c r="E2399" s="330"/>
      <c r="F2399" s="330"/>
      <c r="G2399" s="330"/>
      <c r="H2399" s="330"/>
      <c r="I2399" s="330"/>
      <c r="J2399" s="330"/>
      <c r="K2399" s="330"/>
      <c r="L2399" s="330"/>
      <c r="M2399" s="330"/>
      <c r="N2399" s="330"/>
      <c r="O2399" s="330"/>
      <c r="P2399" s="330"/>
      <c r="Q2399" s="330"/>
      <c r="R2399" s="330"/>
      <c r="S2399" s="330"/>
      <c r="T2399" s="330"/>
      <c r="U2399" s="330"/>
      <c r="V2399" s="23"/>
    </row>
    <row r="2400" spans="1:22" s="16" customFormat="1" ht="15.75" customHeight="1" x14ac:dyDescent="0.25">
      <c r="A2400" s="14"/>
      <c r="B2400" s="330"/>
      <c r="C2400" s="330"/>
      <c r="D2400" s="330"/>
      <c r="E2400" s="330"/>
      <c r="F2400" s="330"/>
      <c r="G2400" s="330"/>
      <c r="H2400" s="330"/>
      <c r="I2400" s="330"/>
      <c r="J2400" s="330"/>
      <c r="K2400" s="330"/>
      <c r="L2400" s="330"/>
      <c r="M2400" s="330"/>
      <c r="N2400" s="330"/>
      <c r="O2400" s="330"/>
      <c r="P2400" s="330"/>
      <c r="Q2400" s="330"/>
      <c r="R2400" s="330"/>
      <c r="S2400" s="330"/>
      <c r="T2400" s="330"/>
      <c r="U2400" s="330"/>
      <c r="V2400" s="23"/>
    </row>
    <row r="2401" spans="1:22" s="16" customFormat="1" ht="15.75" customHeight="1" x14ac:dyDescent="0.25">
      <c r="A2401" s="14"/>
      <c r="B2401" s="330"/>
      <c r="C2401" s="330"/>
      <c r="D2401" s="330"/>
      <c r="E2401" s="330"/>
      <c r="F2401" s="330"/>
      <c r="G2401" s="330"/>
      <c r="H2401" s="330"/>
      <c r="I2401" s="330"/>
      <c r="J2401" s="330"/>
      <c r="K2401" s="330"/>
      <c r="L2401" s="330"/>
      <c r="M2401" s="330"/>
      <c r="N2401" s="330"/>
      <c r="O2401" s="330"/>
      <c r="P2401" s="330"/>
      <c r="Q2401" s="330"/>
      <c r="R2401" s="330"/>
      <c r="S2401" s="330"/>
      <c r="T2401" s="330"/>
      <c r="U2401" s="330"/>
      <c r="V2401" s="23"/>
    </row>
    <row r="2402" spans="1:22" s="16" customFormat="1" ht="15.75" customHeight="1" x14ac:dyDescent="0.25">
      <c r="A2402" s="14"/>
      <c r="B2402" s="330"/>
      <c r="C2402" s="330"/>
      <c r="D2402" s="330"/>
      <c r="E2402" s="330"/>
      <c r="F2402" s="330"/>
      <c r="G2402" s="330"/>
      <c r="H2402" s="330"/>
      <c r="I2402" s="330"/>
      <c r="J2402" s="330"/>
      <c r="K2402" s="330"/>
      <c r="L2402" s="330"/>
      <c r="M2402" s="330"/>
      <c r="N2402" s="330"/>
      <c r="O2402" s="330"/>
      <c r="P2402" s="330"/>
      <c r="Q2402" s="330"/>
      <c r="R2402" s="330"/>
      <c r="S2402" s="330"/>
      <c r="T2402" s="330"/>
      <c r="U2402" s="330"/>
      <c r="V2402" s="23"/>
    </row>
    <row r="2403" spans="1:22" s="16" customFormat="1" ht="15.75" customHeight="1" x14ac:dyDescent="0.25">
      <c r="A2403" s="14"/>
      <c r="B2403" s="330"/>
      <c r="C2403" s="330"/>
      <c r="D2403" s="330"/>
      <c r="E2403" s="330"/>
      <c r="F2403" s="330"/>
      <c r="G2403" s="330"/>
      <c r="H2403" s="330"/>
      <c r="I2403" s="330"/>
      <c r="J2403" s="330"/>
      <c r="K2403" s="330"/>
      <c r="L2403" s="330"/>
      <c r="M2403" s="330"/>
      <c r="N2403" s="330"/>
      <c r="O2403" s="330"/>
      <c r="P2403" s="330"/>
      <c r="Q2403" s="330"/>
      <c r="R2403" s="330"/>
      <c r="S2403" s="330"/>
      <c r="T2403" s="330"/>
      <c r="U2403" s="330"/>
      <c r="V2403" s="23"/>
    </row>
    <row r="2404" spans="1:22" s="16" customFormat="1" ht="15.75" customHeight="1" x14ac:dyDescent="0.25">
      <c r="A2404" s="14"/>
      <c r="B2404" s="330"/>
      <c r="C2404" s="330"/>
      <c r="D2404" s="330"/>
      <c r="E2404" s="330"/>
      <c r="F2404" s="330"/>
      <c r="G2404" s="330"/>
      <c r="H2404" s="330"/>
      <c r="I2404" s="330"/>
      <c r="J2404" s="330"/>
      <c r="K2404" s="330"/>
      <c r="L2404" s="330"/>
      <c r="M2404" s="330"/>
      <c r="N2404" s="330"/>
      <c r="O2404" s="330"/>
      <c r="P2404" s="330"/>
      <c r="Q2404" s="330"/>
      <c r="R2404" s="330"/>
      <c r="S2404" s="330"/>
      <c r="T2404" s="330"/>
      <c r="U2404" s="330"/>
      <c r="V2404" s="23"/>
    </row>
    <row r="2405" spans="1:22" s="16" customFormat="1" ht="15.75" customHeight="1" x14ac:dyDescent="0.25">
      <c r="A2405" s="14"/>
      <c r="B2405" s="330"/>
      <c r="C2405" s="330"/>
      <c r="D2405" s="330"/>
      <c r="E2405" s="330"/>
      <c r="F2405" s="330"/>
      <c r="G2405" s="330"/>
      <c r="H2405" s="330"/>
      <c r="I2405" s="330"/>
      <c r="J2405" s="330"/>
      <c r="K2405" s="330"/>
      <c r="L2405" s="330"/>
      <c r="M2405" s="330"/>
      <c r="N2405" s="330"/>
      <c r="O2405" s="330"/>
      <c r="P2405" s="330"/>
      <c r="Q2405" s="330"/>
      <c r="R2405" s="330"/>
      <c r="S2405" s="330"/>
      <c r="T2405" s="330"/>
      <c r="U2405" s="330"/>
      <c r="V2405" s="23"/>
    </row>
    <row r="2406" spans="1:22" s="16" customFormat="1" ht="15.75" customHeight="1" x14ac:dyDescent="0.25">
      <c r="A2406" s="14"/>
      <c r="B2406" s="330"/>
      <c r="C2406" s="330"/>
      <c r="D2406" s="330"/>
      <c r="E2406" s="330"/>
      <c r="F2406" s="330"/>
      <c r="G2406" s="330"/>
      <c r="H2406" s="330"/>
      <c r="I2406" s="330"/>
      <c r="J2406" s="330"/>
      <c r="K2406" s="330"/>
      <c r="L2406" s="330"/>
      <c r="M2406" s="330"/>
      <c r="N2406" s="330"/>
      <c r="O2406" s="330"/>
      <c r="P2406" s="330"/>
      <c r="Q2406" s="330"/>
      <c r="R2406" s="330"/>
      <c r="S2406" s="330"/>
      <c r="T2406" s="330"/>
      <c r="U2406" s="330"/>
      <c r="V2406" s="23"/>
    </row>
    <row r="2407" spans="1:22" s="16" customFormat="1" ht="15.75" customHeight="1" x14ac:dyDescent="0.2">
      <c r="A2407" s="14"/>
      <c r="B2407" s="23"/>
      <c r="C2407" s="23"/>
      <c r="D2407" s="23"/>
      <c r="E2407" s="23"/>
      <c r="F2407" s="23"/>
      <c r="G2407" s="23"/>
      <c r="H2407" s="23"/>
      <c r="I2407" s="23"/>
      <c r="J2407" s="23"/>
      <c r="K2407" s="23"/>
      <c r="L2407" s="23"/>
      <c r="M2407" s="23"/>
      <c r="N2407" s="23"/>
      <c r="O2407" s="23"/>
      <c r="P2407" s="23"/>
      <c r="Q2407" s="23"/>
      <c r="R2407" s="23"/>
      <c r="S2407" s="23"/>
      <c r="T2407" s="35"/>
      <c r="U2407" s="35"/>
      <c r="V2407" s="23"/>
    </row>
    <row r="2408" spans="1:22" s="16" customFormat="1" ht="15.75" customHeight="1" x14ac:dyDescent="0.2">
      <c r="A2408" s="14"/>
      <c r="B2408" s="23"/>
      <c r="C2408" s="23"/>
      <c r="D2408" s="23"/>
      <c r="E2408" s="23"/>
      <c r="F2408" s="23"/>
      <c r="G2408" s="23"/>
      <c r="H2408" s="23"/>
      <c r="I2408" s="23"/>
      <c r="J2408" s="23"/>
      <c r="K2408" s="23"/>
      <c r="L2408" s="23"/>
      <c r="M2408" s="23"/>
      <c r="N2408" s="23"/>
      <c r="O2408" s="23"/>
      <c r="P2408" s="23"/>
      <c r="Q2408" s="23"/>
      <c r="R2408" s="23"/>
      <c r="S2408" s="23"/>
      <c r="T2408" s="35"/>
      <c r="U2408" s="35"/>
      <c r="V2408" s="23"/>
    </row>
    <row r="2409" spans="1:22" s="16" customFormat="1" ht="15.75" customHeight="1" x14ac:dyDescent="0.2">
      <c r="A2409" s="14"/>
      <c r="B2409" s="23"/>
      <c r="C2409" s="23"/>
      <c r="D2409" s="23"/>
      <c r="E2409" s="23"/>
      <c r="F2409" s="23"/>
      <c r="G2409" s="23"/>
      <c r="H2409" s="23"/>
      <c r="I2409" s="23"/>
      <c r="J2409" s="23"/>
      <c r="K2409" s="23"/>
      <c r="L2409" s="23"/>
      <c r="M2409" s="23"/>
      <c r="N2409" s="23"/>
      <c r="O2409" s="23"/>
      <c r="P2409" s="23"/>
      <c r="Q2409" s="23"/>
      <c r="R2409" s="23"/>
      <c r="S2409" s="23"/>
      <c r="T2409" s="35"/>
      <c r="U2409" s="35"/>
      <c r="V2409" s="23"/>
    </row>
    <row r="2410" spans="1:22" s="16" customFormat="1" ht="15.75" customHeight="1" x14ac:dyDescent="0.25">
      <c r="A2410" s="14"/>
      <c r="B2410" s="399" t="s">
        <v>949</v>
      </c>
      <c r="C2410" s="399"/>
      <c r="D2410" s="399"/>
      <c r="E2410" s="399"/>
      <c r="F2410" s="399"/>
      <c r="G2410" s="399"/>
      <c r="H2410" s="399"/>
      <c r="I2410" s="399"/>
      <c r="J2410" s="399"/>
      <c r="K2410" s="399"/>
      <c r="L2410" s="399"/>
      <c r="M2410" s="399"/>
      <c r="N2410" s="399"/>
      <c r="O2410" s="399"/>
      <c r="P2410" s="399"/>
      <c r="Q2410" s="399"/>
      <c r="R2410" s="399"/>
      <c r="S2410" s="399"/>
      <c r="T2410" s="399"/>
      <c r="U2410" s="399"/>
      <c r="V2410" s="23"/>
    </row>
    <row r="2411" spans="1:22" s="16" customFormat="1" ht="15.75" customHeight="1" x14ac:dyDescent="0.25">
      <c r="A2411" s="14"/>
      <c r="B2411" s="399" t="s">
        <v>950</v>
      </c>
      <c r="C2411" s="399"/>
      <c r="D2411" s="399"/>
      <c r="E2411" s="399"/>
      <c r="F2411" s="399"/>
      <c r="G2411" s="399"/>
      <c r="H2411" s="399"/>
      <c r="I2411" s="399"/>
      <c r="J2411" s="399"/>
      <c r="K2411" s="399"/>
      <c r="L2411" s="399"/>
      <c r="M2411" s="399"/>
      <c r="N2411" s="399"/>
      <c r="O2411" s="399"/>
      <c r="P2411" s="399"/>
      <c r="Q2411" s="399"/>
      <c r="R2411" s="399"/>
      <c r="S2411" s="399"/>
      <c r="T2411" s="399"/>
      <c r="U2411" s="399"/>
      <c r="V2411" s="23"/>
    </row>
    <row r="2412" spans="1:22" s="16" customFormat="1" ht="15.75" customHeight="1" x14ac:dyDescent="0.25">
      <c r="A2412" s="14"/>
      <c r="B2412" s="331"/>
      <c r="C2412" s="4"/>
      <c r="D2412" s="4"/>
      <c r="E2412" s="4"/>
      <c r="F2412" s="4"/>
      <c r="G2412" s="4"/>
      <c r="H2412" s="4"/>
      <c r="I2412" s="4"/>
      <c r="J2412" s="4"/>
      <c r="K2412" s="4"/>
      <c r="L2412" s="4"/>
      <c r="M2412" s="4"/>
      <c r="N2412" s="4"/>
      <c r="O2412" s="4"/>
      <c r="P2412" s="4"/>
      <c r="Q2412" s="4"/>
      <c r="R2412" s="4"/>
      <c r="S2412" s="4"/>
      <c r="T2412" s="4"/>
      <c r="U2412" s="4"/>
      <c r="V2412" s="23"/>
    </row>
    <row r="2413" spans="1:22" s="16" customFormat="1" ht="70.5" customHeight="1" x14ac:dyDescent="0.2">
      <c r="A2413" s="14"/>
      <c r="B2413" s="400" t="str">
        <f>"Laporan Keuangan Tahun Anggaran "&amp;'[1]2.ISIAN DATA SKPD'!D11&amp;"  "&amp;'[1]2.ISIAN DATA SKPD'!D2&amp;" merupakan informasi mengenai kemampuan merealisasikan pelaksanaan kegiatan berdasarkan anggaran pendapatan, belanja dan pembiayaan yang telah ditetapkan."</f>
        <v>Laporan Keuangan Tahun Anggaran 2018  Dinas Pariwisata Dan Kebudayaan merupakan informasi mengenai kemampuan merealisasikan pelaksanaan kegiatan berdasarkan anggaran pendapatan, belanja dan pembiayaan yang telah ditetapkan.</v>
      </c>
      <c r="C2413" s="400"/>
      <c r="D2413" s="400"/>
      <c r="E2413" s="400"/>
      <c r="F2413" s="400"/>
      <c r="G2413" s="400"/>
      <c r="H2413" s="400"/>
      <c r="I2413" s="400"/>
      <c r="J2413" s="400"/>
      <c r="K2413" s="400"/>
      <c r="L2413" s="400"/>
      <c r="M2413" s="400"/>
      <c r="N2413" s="400"/>
      <c r="O2413" s="400"/>
      <c r="P2413" s="400"/>
      <c r="Q2413" s="400"/>
      <c r="R2413" s="400"/>
      <c r="S2413" s="400"/>
      <c r="T2413" s="400"/>
      <c r="U2413" s="17"/>
      <c r="V2413" s="23"/>
    </row>
    <row r="2414" spans="1:22" s="16" customFormat="1" ht="111.75" customHeight="1" x14ac:dyDescent="0.2">
      <c r="A2414" s="14"/>
      <c r="B2414" s="400" t="str">
        <f>"Laporan keuangan ini menyajikan perbandingan antara anggaran pendapatan, anggaran belanja  dan pembiayaan dengan realisasinya dalam tahun anggaran "&amp;'[1]2.ISIAN DATA SKPD'!D11&amp;" serta realisasi tahun anggaran sebelumnya, posisi kekayaan "&amp;'[1]2.ISIAN DATA SKPD'!D2&amp;" dan kegiatan operasional, perubahan saldo maupun perubahan ekuitas selama 1 periode akuntansi sesuai dengan standar akuntansi pemerintahan."</f>
        <v>Laporan keuangan ini menyajikan perbandingan antara anggaran pendapatan, anggaran belanja  dan pembiayaan dengan realisasinya dalam tahun anggaran 2018 serta realisasi tahun anggaran sebelumnya, posisi kekayaan Dinas Pariwisata Dan Kebudayaan dan kegiatan operasional, perubahan saldo maupun perubahan ekuitas selama 1 periode akuntansi sesuai dengan standar akuntansi pemerintahan.</v>
      </c>
      <c r="C2414" s="400"/>
      <c r="D2414" s="400"/>
      <c r="E2414" s="400"/>
      <c r="F2414" s="400"/>
      <c r="G2414" s="400"/>
      <c r="H2414" s="400"/>
      <c r="I2414" s="400"/>
      <c r="J2414" s="400"/>
      <c r="K2414" s="400"/>
      <c r="L2414" s="400"/>
      <c r="M2414" s="400"/>
      <c r="N2414" s="400"/>
      <c r="O2414" s="400"/>
      <c r="P2414" s="400"/>
      <c r="Q2414" s="400"/>
      <c r="R2414" s="400"/>
      <c r="S2414" s="400"/>
      <c r="T2414" s="400"/>
      <c r="U2414" s="17"/>
      <c r="V2414" s="23"/>
    </row>
    <row r="2415" spans="1:22" s="16" customFormat="1" ht="63" customHeight="1" x14ac:dyDescent="0.2">
      <c r="A2415" s="14"/>
      <c r="B2415" s="400" t="str">
        <f>"Demikian laporan keuangan ini disusun dengan penjelasan yang memadai sebagai bahan konsolidasi penyusunan Laporan Keuangan Pemerintah Daerah Kabupaten Wonosobo tahun anggaran "&amp;'[1]2.ISIAN DATA SKPD'!D11&amp;"."</f>
        <v>Demikian laporan keuangan ini disusun dengan penjelasan yang memadai sebagai bahan konsolidasi penyusunan Laporan Keuangan Pemerintah Daerah Kabupaten Wonosobo tahun anggaran 2018.</v>
      </c>
      <c r="C2415" s="400"/>
      <c r="D2415" s="400"/>
      <c r="E2415" s="400"/>
      <c r="F2415" s="400"/>
      <c r="G2415" s="400"/>
      <c r="H2415" s="400"/>
      <c r="I2415" s="400"/>
      <c r="J2415" s="400"/>
      <c r="K2415" s="400"/>
      <c r="L2415" s="400"/>
      <c r="M2415" s="400"/>
      <c r="N2415" s="400"/>
      <c r="O2415" s="400"/>
      <c r="P2415" s="400"/>
      <c r="Q2415" s="400"/>
      <c r="R2415" s="400"/>
      <c r="S2415" s="400"/>
      <c r="T2415" s="400"/>
      <c r="U2415" s="17"/>
      <c r="V2415" s="23"/>
    </row>
    <row r="2416" spans="1:22" s="16" customFormat="1" ht="20.25" customHeight="1" x14ac:dyDescent="0.2">
      <c r="A2416" s="14"/>
      <c r="B2416" s="17"/>
      <c r="C2416" s="17"/>
      <c r="D2416" s="17"/>
      <c r="E2416" s="17"/>
      <c r="F2416" s="17"/>
      <c r="G2416" s="17"/>
      <c r="H2416" s="17"/>
      <c r="I2416" s="17"/>
      <c r="J2416" s="17"/>
      <c r="K2416" s="17"/>
      <c r="L2416" s="17"/>
      <c r="M2416" s="17"/>
      <c r="N2416" s="17"/>
      <c r="O2416" s="17"/>
      <c r="P2416" s="17"/>
      <c r="Q2416" s="17"/>
      <c r="R2416" s="17"/>
      <c r="S2416" s="17"/>
      <c r="T2416" s="17"/>
      <c r="U2416" s="17"/>
      <c r="V2416" s="23"/>
    </row>
    <row r="2417" spans="1:22" s="16" customFormat="1" ht="18" customHeight="1" x14ac:dyDescent="0.25">
      <c r="A2417" s="14"/>
      <c r="B2417" s="17"/>
      <c r="C2417" s="17"/>
      <c r="D2417" s="17"/>
      <c r="E2417" s="17"/>
      <c r="F2417" s="17"/>
      <c r="G2417" s="17"/>
      <c r="H2417" s="17"/>
      <c r="I2417" s="17"/>
      <c r="J2417" s="17"/>
      <c r="K2417" s="332"/>
      <c r="L2417" s="333" t="str">
        <f>"Wonosobo, "&amp;'[1]2.ISIAN DATA SKPD'!D19&amp;""</f>
        <v>Wonosobo, 15 Februari 2019</v>
      </c>
      <c r="M2417" s="333"/>
      <c r="N2417" s="333"/>
      <c r="O2417" s="333"/>
      <c r="P2417" s="333"/>
      <c r="Q2417" s="333"/>
      <c r="R2417" s="333"/>
      <c r="S2417" s="333"/>
      <c r="T2417" s="333"/>
      <c r="U2417" s="333"/>
      <c r="V2417" s="23"/>
    </row>
    <row r="2418" spans="1:22" s="16" customFormat="1" ht="18" customHeight="1" x14ac:dyDescent="0.25">
      <c r="A2418" s="14"/>
      <c r="B2418" s="17"/>
      <c r="C2418" s="17"/>
      <c r="D2418" s="17"/>
      <c r="E2418" s="17"/>
      <c r="F2418" s="17"/>
      <c r="G2418" s="17"/>
      <c r="H2418" s="17"/>
      <c r="I2418" s="17"/>
      <c r="J2418" s="401" t="str">
        <f>"Kepala "&amp;'[1]2.ISIAN DATA SKPD'!D2&amp;""</f>
        <v>Kepala Dinas Pariwisata Dan Kebudayaan</v>
      </c>
      <c r="K2418" s="401"/>
      <c r="L2418" s="401"/>
      <c r="M2418" s="401"/>
      <c r="N2418" s="401"/>
      <c r="O2418" s="401"/>
      <c r="P2418" s="401"/>
      <c r="Q2418" s="401"/>
      <c r="R2418" s="401"/>
      <c r="S2418" s="401"/>
      <c r="T2418" s="401"/>
      <c r="U2418" s="401"/>
      <c r="V2418" s="23"/>
    </row>
    <row r="2419" spans="1:22" s="16" customFormat="1" ht="18" customHeight="1" x14ac:dyDescent="0.25">
      <c r="A2419" s="14"/>
      <c r="B2419" s="17"/>
      <c r="C2419" s="17"/>
      <c r="D2419" s="17"/>
      <c r="E2419" s="17"/>
      <c r="F2419" s="17"/>
      <c r="G2419" s="17"/>
      <c r="H2419" s="17"/>
      <c r="I2419" s="17"/>
      <c r="J2419" s="17"/>
      <c r="K2419" s="332"/>
      <c r="L2419" s="332"/>
      <c r="M2419" s="333"/>
      <c r="N2419" s="333"/>
      <c r="O2419" s="333"/>
      <c r="P2419" s="333"/>
      <c r="Q2419" s="333"/>
      <c r="R2419" s="333"/>
      <c r="S2419" s="333"/>
      <c r="T2419" s="17"/>
      <c r="U2419" s="17"/>
      <c r="V2419" s="23"/>
    </row>
    <row r="2420" spans="1:22" s="16" customFormat="1" ht="18" customHeight="1" x14ac:dyDescent="0.25">
      <c r="A2420" s="14"/>
      <c r="B2420" s="17"/>
      <c r="C2420" s="17"/>
      <c r="D2420" s="17"/>
      <c r="E2420" s="17"/>
      <c r="F2420" s="17"/>
      <c r="G2420" s="17"/>
      <c r="H2420" s="17"/>
      <c r="I2420" s="17"/>
      <c r="J2420" s="17"/>
      <c r="K2420" s="332"/>
      <c r="L2420" s="332"/>
      <c r="M2420" s="333"/>
      <c r="N2420" s="333"/>
      <c r="O2420" s="333"/>
      <c r="P2420" s="333"/>
      <c r="Q2420" s="333"/>
      <c r="R2420" s="333"/>
      <c r="S2420" s="333"/>
      <c r="T2420" s="17"/>
      <c r="U2420" s="17"/>
      <c r="V2420" s="23"/>
    </row>
    <row r="2421" spans="1:22" s="16" customFormat="1" ht="18" customHeight="1" x14ac:dyDescent="0.25">
      <c r="A2421" s="14"/>
      <c r="B2421" s="17"/>
      <c r="C2421" s="17"/>
      <c r="D2421" s="17"/>
      <c r="E2421" s="17"/>
      <c r="F2421" s="17"/>
      <c r="G2421" s="17"/>
      <c r="H2421" s="17"/>
      <c r="I2421" s="17"/>
      <c r="J2421" s="17"/>
      <c r="K2421" s="332"/>
      <c r="L2421" s="332"/>
      <c r="M2421" s="333"/>
      <c r="N2421" s="333"/>
      <c r="O2421" s="333"/>
      <c r="P2421" s="333"/>
      <c r="Q2421" s="333"/>
      <c r="R2421" s="333"/>
      <c r="S2421" s="333"/>
      <c r="T2421" s="17"/>
      <c r="U2421" s="17"/>
      <c r="V2421" s="23"/>
    </row>
    <row r="2422" spans="1:22" s="16" customFormat="1" ht="17.25" customHeight="1" x14ac:dyDescent="0.2">
      <c r="A2422" s="14"/>
      <c r="B2422" s="17"/>
      <c r="C2422" s="17"/>
      <c r="D2422" s="17"/>
      <c r="E2422" s="17"/>
      <c r="F2422" s="17"/>
      <c r="G2422" s="17"/>
      <c r="H2422" s="17"/>
      <c r="I2422" s="17"/>
      <c r="J2422" s="395" t="str">
        <f>'[1]2.ISIAN DATA SKPD'!D13</f>
        <v>Drs. One Andang Wardoyo,M.Si</v>
      </c>
      <c r="K2422" s="395"/>
      <c r="L2422" s="395"/>
      <c r="M2422" s="395"/>
      <c r="N2422" s="395"/>
      <c r="O2422" s="395"/>
      <c r="P2422" s="395"/>
      <c r="Q2422" s="395"/>
      <c r="R2422" s="395"/>
      <c r="S2422" s="395"/>
      <c r="T2422" s="395"/>
      <c r="U2422" s="395"/>
      <c r="V2422" s="23"/>
    </row>
    <row r="2423" spans="1:22" s="16" customFormat="1" ht="18.75" customHeight="1" x14ac:dyDescent="0.25">
      <c r="A2423" s="14"/>
      <c r="K2423" s="332"/>
      <c r="L2423" s="333" t="str">
        <f>"NIP. "&amp;'[1]2.ISIAN DATA SKPD'!D14&amp;""</f>
        <v>NIP. 19680925 198803 1 003</v>
      </c>
      <c r="M2423" s="333"/>
      <c r="N2423" s="333"/>
      <c r="O2423" s="333"/>
      <c r="P2423" s="333"/>
      <c r="Q2423" s="333"/>
      <c r="R2423" s="333"/>
      <c r="S2423" s="333"/>
      <c r="T2423" s="333"/>
      <c r="U2423" s="333"/>
      <c r="V2423" s="23"/>
    </row>
    <row r="2424" spans="1:22" s="16" customFormat="1" ht="15.75" customHeight="1" x14ac:dyDescent="0.25">
      <c r="A2424" s="33"/>
      <c r="B2424" s="23"/>
      <c r="C2424" s="23"/>
      <c r="D2424" s="23"/>
      <c r="E2424" s="23"/>
      <c r="F2424" s="23"/>
      <c r="G2424" s="23"/>
      <c r="H2424" s="23"/>
      <c r="I2424" s="23"/>
      <c r="J2424" s="23"/>
      <c r="K2424" s="396"/>
      <c r="L2424" s="396"/>
      <c r="M2424" s="397"/>
      <c r="N2424" s="397"/>
      <c r="O2424" s="397"/>
      <c r="P2424" s="397"/>
      <c r="Q2424" s="397"/>
      <c r="R2424" s="397"/>
      <c r="S2424" s="397"/>
      <c r="T2424" s="35"/>
      <c r="U2424" s="35"/>
      <c r="V2424" s="23"/>
    </row>
    <row r="2425" spans="1:22" s="16" customFormat="1" ht="15.75" customHeight="1" x14ac:dyDescent="0.2">
      <c r="A2425" s="33"/>
      <c r="B2425" s="23"/>
      <c r="C2425" s="23"/>
      <c r="D2425" s="23"/>
      <c r="E2425" s="23"/>
      <c r="F2425" s="23"/>
      <c r="G2425" s="23"/>
      <c r="H2425" s="23"/>
      <c r="I2425" s="23"/>
      <c r="J2425" s="23"/>
      <c r="K2425" s="23"/>
      <c r="L2425" s="23"/>
      <c r="M2425" s="23"/>
      <c r="N2425" s="23"/>
      <c r="O2425" s="23"/>
      <c r="P2425" s="23"/>
      <c r="Q2425" s="23"/>
      <c r="R2425" s="23"/>
      <c r="S2425" s="23"/>
      <c r="T2425" s="35"/>
      <c r="U2425" s="35"/>
      <c r="V2425" s="23"/>
    </row>
    <row r="2426" spans="1:22" x14ac:dyDescent="0.25">
      <c r="B2426" s="23"/>
      <c r="C2426" s="23"/>
      <c r="D2426" s="23"/>
      <c r="E2426" s="23"/>
      <c r="F2426" s="23"/>
      <c r="G2426" s="23"/>
      <c r="H2426" s="23"/>
      <c r="I2426" s="23"/>
      <c r="J2426" s="23"/>
      <c r="K2426" s="23"/>
      <c r="L2426" s="23"/>
      <c r="M2426" s="23"/>
      <c r="N2426" s="23"/>
      <c r="O2426" s="23"/>
      <c r="P2426" s="23"/>
      <c r="Q2426" s="23"/>
      <c r="R2426" s="23"/>
      <c r="S2426" s="23"/>
      <c r="T2426" s="35"/>
      <c r="U2426" s="35"/>
    </row>
    <row r="2427" spans="1:22" x14ac:dyDescent="0.25">
      <c r="B2427" s="23"/>
      <c r="C2427" s="23"/>
      <c r="D2427" s="23"/>
      <c r="E2427" s="23"/>
      <c r="F2427" s="23"/>
      <c r="G2427" s="23"/>
      <c r="H2427" s="23"/>
      <c r="I2427" s="23"/>
      <c r="J2427" s="23"/>
      <c r="K2427" s="23"/>
      <c r="L2427" s="23"/>
      <c r="M2427" s="23"/>
      <c r="N2427" s="23"/>
      <c r="O2427" s="23"/>
      <c r="P2427" s="23"/>
      <c r="Q2427" s="23"/>
      <c r="R2427" s="23"/>
      <c r="S2427" s="23"/>
      <c r="T2427" s="35"/>
      <c r="U2427" s="35"/>
    </row>
    <row r="2428" spans="1:22" x14ac:dyDescent="0.25">
      <c r="B2428" s="23"/>
      <c r="C2428" s="23"/>
      <c r="D2428" s="23"/>
      <c r="E2428" s="23"/>
      <c r="F2428" s="23"/>
      <c r="G2428" s="23"/>
      <c r="H2428" s="23"/>
      <c r="I2428" s="23"/>
      <c r="J2428" s="23"/>
      <c r="K2428" s="23"/>
      <c r="L2428" s="23"/>
      <c r="M2428" s="23"/>
      <c r="N2428" s="23"/>
      <c r="O2428" s="23"/>
      <c r="P2428" s="23"/>
      <c r="Q2428" s="23"/>
      <c r="R2428" s="23"/>
      <c r="S2428" s="23"/>
      <c r="T2428" s="35"/>
      <c r="U2428" s="35"/>
    </row>
    <row r="2429" spans="1:22" x14ac:dyDescent="0.25">
      <c r="B2429" s="23"/>
      <c r="C2429" s="23"/>
      <c r="D2429" s="23"/>
      <c r="E2429" s="23"/>
      <c r="F2429" s="23"/>
      <c r="G2429" s="23"/>
      <c r="H2429" s="23"/>
      <c r="I2429" s="23"/>
      <c r="J2429" s="23"/>
      <c r="K2429" s="23"/>
      <c r="L2429" s="23"/>
      <c r="M2429" s="23"/>
      <c r="N2429" s="23"/>
      <c r="O2429" s="23"/>
      <c r="P2429" s="23"/>
      <c r="Q2429" s="23"/>
      <c r="R2429" s="23"/>
      <c r="S2429" s="23"/>
      <c r="T2429" s="35"/>
      <c r="U2429" s="35"/>
    </row>
    <row r="2430" spans="1:22" x14ac:dyDescent="0.25">
      <c r="B2430" s="23"/>
      <c r="C2430" s="23"/>
      <c r="D2430" s="23"/>
      <c r="E2430" s="23"/>
      <c r="F2430" s="23"/>
      <c r="G2430" s="23"/>
      <c r="H2430" s="23"/>
      <c r="I2430" s="23"/>
      <c r="J2430" s="23"/>
      <c r="K2430" s="23"/>
      <c r="L2430" s="23"/>
      <c r="M2430" s="23"/>
      <c r="N2430" s="23"/>
      <c r="O2430" s="23"/>
      <c r="P2430" s="23"/>
      <c r="Q2430" s="23"/>
      <c r="R2430" s="23"/>
      <c r="S2430" s="23"/>
      <c r="T2430" s="35"/>
      <c r="U2430" s="35"/>
    </row>
    <row r="2440" ht="120" customHeight="1" x14ac:dyDescent="0.25"/>
    <row r="2512" spans="20:21" x14ac:dyDescent="0.25">
      <c r="T2512" s="2"/>
      <c r="U2512" s="2"/>
    </row>
    <row r="2513" spans="2:21" x14ac:dyDescent="0.25">
      <c r="T2513" s="2"/>
      <c r="U2513" s="2"/>
    </row>
    <row r="2514" spans="2:21" x14ac:dyDescent="0.25">
      <c r="T2514" s="2"/>
      <c r="U2514" s="2"/>
    </row>
    <row r="2515" spans="2:21" x14ac:dyDescent="0.25">
      <c r="T2515" s="2"/>
      <c r="U2515" s="2"/>
    </row>
    <row r="2516" spans="2:21" x14ac:dyDescent="0.25">
      <c r="T2516" s="2"/>
      <c r="U2516" s="2"/>
    </row>
    <row r="2517" spans="2:21" x14ac:dyDescent="0.25">
      <c r="T2517" s="2"/>
      <c r="U2517" s="2"/>
    </row>
    <row r="2518" spans="2:21" ht="15.75" x14ac:dyDescent="0.25">
      <c r="B2518" s="334"/>
    </row>
    <row r="2519" spans="2:21" ht="15.75" x14ac:dyDescent="0.25">
      <c r="B2519" s="334"/>
    </row>
    <row r="2520" spans="2:21" ht="330.75" x14ac:dyDescent="0.25">
      <c r="B2520" s="398"/>
      <c r="C2520" s="335" t="s">
        <v>951</v>
      </c>
    </row>
    <row r="2521" spans="2:21" ht="15.75" x14ac:dyDescent="0.25">
      <c r="B2521" s="398"/>
      <c r="C2521" s="336"/>
    </row>
    <row r="2522" spans="2:21" ht="15.75" x14ac:dyDescent="0.25">
      <c r="B2522" s="398"/>
      <c r="C2522" s="337" t="s">
        <v>952</v>
      </c>
    </row>
    <row r="2523" spans="2:21" ht="15.75" x14ac:dyDescent="0.25">
      <c r="B2523" s="398"/>
      <c r="C2523" s="337"/>
    </row>
    <row r="2524" spans="2:21" ht="15.75" x14ac:dyDescent="0.25">
      <c r="B2524" s="398"/>
      <c r="C2524" s="338"/>
    </row>
    <row r="2525" spans="2:21" ht="15.75" x14ac:dyDescent="0.25">
      <c r="B2525" s="398"/>
      <c r="C2525" s="338"/>
    </row>
    <row r="2526" spans="2:21" ht="15.75" x14ac:dyDescent="0.25">
      <c r="B2526" s="398"/>
      <c r="C2526" s="338"/>
    </row>
  </sheetData>
  <mergeCells count="5450">
    <mergeCell ref="C10:U10"/>
    <mergeCell ref="D11:U11"/>
    <mergeCell ref="C12:U12"/>
    <mergeCell ref="C13:U13"/>
    <mergeCell ref="D14:U14"/>
    <mergeCell ref="D15:U15"/>
    <mergeCell ref="A1:U1"/>
    <mergeCell ref="B2:U2"/>
    <mergeCell ref="B3:U3"/>
    <mergeCell ref="D7:U7"/>
    <mergeCell ref="C8:U8"/>
    <mergeCell ref="C9:U9"/>
    <mergeCell ref="A30:A31"/>
    <mergeCell ref="C30:T30"/>
    <mergeCell ref="C31:U31"/>
    <mergeCell ref="C32:U32"/>
    <mergeCell ref="D33:U33"/>
    <mergeCell ref="D34:U34"/>
    <mergeCell ref="C23:U23"/>
    <mergeCell ref="C24:T24"/>
    <mergeCell ref="C25:T25"/>
    <mergeCell ref="C26:T26"/>
    <mergeCell ref="C27:T27"/>
    <mergeCell ref="C28:T28"/>
    <mergeCell ref="D16:U16"/>
    <mergeCell ref="D17:U17"/>
    <mergeCell ref="D18:U18"/>
    <mergeCell ref="D19:U19"/>
    <mergeCell ref="D20:U20"/>
    <mergeCell ref="C21:U21"/>
    <mergeCell ref="D46:U46"/>
    <mergeCell ref="D47:U47"/>
    <mergeCell ref="D48:U48"/>
    <mergeCell ref="D49:U49"/>
    <mergeCell ref="D50:U50"/>
    <mergeCell ref="D51:U51"/>
    <mergeCell ref="D41:U41"/>
    <mergeCell ref="D42:U42"/>
    <mergeCell ref="D43:U43"/>
    <mergeCell ref="D44:U44"/>
    <mergeCell ref="D45:U45"/>
    <mergeCell ref="V45:AL45"/>
    <mergeCell ref="D35:U35"/>
    <mergeCell ref="D36:U36"/>
    <mergeCell ref="D37:U37"/>
    <mergeCell ref="D38:U38"/>
    <mergeCell ref="D39:U39"/>
    <mergeCell ref="D40:U40"/>
    <mergeCell ref="C61:T61"/>
    <mergeCell ref="C62:T62"/>
    <mergeCell ref="C63:T63"/>
    <mergeCell ref="C64:T64"/>
    <mergeCell ref="D65:T65"/>
    <mergeCell ref="D66:T66"/>
    <mergeCell ref="D55:U55"/>
    <mergeCell ref="D56:U56"/>
    <mergeCell ref="A58:A59"/>
    <mergeCell ref="C58:T58"/>
    <mergeCell ref="C59:U59"/>
    <mergeCell ref="C60:T60"/>
    <mergeCell ref="D52:U52"/>
    <mergeCell ref="V52:AL52"/>
    <mergeCell ref="D53:U53"/>
    <mergeCell ref="V53:AL53"/>
    <mergeCell ref="D54:U54"/>
    <mergeCell ref="V54:AL54"/>
    <mergeCell ref="C79:T79"/>
    <mergeCell ref="D80:U80"/>
    <mergeCell ref="C81:T81"/>
    <mergeCell ref="C82:T82"/>
    <mergeCell ref="E83:U83"/>
    <mergeCell ref="E84:U84"/>
    <mergeCell ref="D73:U73"/>
    <mergeCell ref="D74:U74"/>
    <mergeCell ref="C75:T75"/>
    <mergeCell ref="D76:U76"/>
    <mergeCell ref="D77:U77"/>
    <mergeCell ref="D78:U78"/>
    <mergeCell ref="C67:T67"/>
    <mergeCell ref="C68:T68"/>
    <mergeCell ref="D69:U69"/>
    <mergeCell ref="D70:U70"/>
    <mergeCell ref="C71:T71"/>
    <mergeCell ref="D72:U72"/>
    <mergeCell ref="A123:F124"/>
    <mergeCell ref="G123:K124"/>
    <mergeCell ref="L123:P124"/>
    <mergeCell ref="Q123:U124"/>
    <mergeCell ref="G125:K125"/>
    <mergeCell ref="L125:P125"/>
    <mergeCell ref="Q125:U125"/>
    <mergeCell ref="E91:U91"/>
    <mergeCell ref="E92:U92"/>
    <mergeCell ref="D93:U93"/>
    <mergeCell ref="A115:U115"/>
    <mergeCell ref="A116:U116"/>
    <mergeCell ref="A118:A121"/>
    <mergeCell ref="C118:U118"/>
    <mergeCell ref="C120:U120"/>
    <mergeCell ref="C121:U121"/>
    <mergeCell ref="D85:U85"/>
    <mergeCell ref="E86:U86"/>
    <mergeCell ref="E87:U87"/>
    <mergeCell ref="E88:U88"/>
    <mergeCell ref="D89:U89"/>
    <mergeCell ref="E90:U90"/>
    <mergeCell ref="G130:K130"/>
    <mergeCell ref="L130:P130"/>
    <mergeCell ref="Q130:U130"/>
    <mergeCell ref="G131:K131"/>
    <mergeCell ref="L131:P131"/>
    <mergeCell ref="Q131:U131"/>
    <mergeCell ref="G128:K128"/>
    <mergeCell ref="L128:P128"/>
    <mergeCell ref="Q128:U128"/>
    <mergeCell ref="G129:K129"/>
    <mergeCell ref="L129:P129"/>
    <mergeCell ref="Q129:U129"/>
    <mergeCell ref="G126:K126"/>
    <mergeCell ref="L126:P126"/>
    <mergeCell ref="Q126:U126"/>
    <mergeCell ref="G127:K127"/>
    <mergeCell ref="L127:P127"/>
    <mergeCell ref="Q127:U127"/>
    <mergeCell ref="G136:K136"/>
    <mergeCell ref="L136:P136"/>
    <mergeCell ref="Q136:U136"/>
    <mergeCell ref="C138:U138"/>
    <mergeCell ref="V138:AM138"/>
    <mergeCell ref="A140:U140"/>
    <mergeCell ref="G134:K134"/>
    <mergeCell ref="L134:P134"/>
    <mergeCell ref="Q134:U134"/>
    <mergeCell ref="G135:K135"/>
    <mergeCell ref="L135:P135"/>
    <mergeCell ref="Q135:U135"/>
    <mergeCell ref="G132:K132"/>
    <mergeCell ref="L132:P132"/>
    <mergeCell ref="Q132:U132"/>
    <mergeCell ref="G133:K133"/>
    <mergeCell ref="L133:P133"/>
    <mergeCell ref="Q133:U133"/>
    <mergeCell ref="E145:J145"/>
    <mergeCell ref="K145:O145"/>
    <mergeCell ref="P145:S145"/>
    <mergeCell ref="T145:U145"/>
    <mergeCell ref="E146:J146"/>
    <mergeCell ref="K146:O146"/>
    <mergeCell ref="P146:S146"/>
    <mergeCell ref="T146:U146"/>
    <mergeCell ref="E143:J143"/>
    <mergeCell ref="K143:O143"/>
    <mergeCell ref="P143:S143"/>
    <mergeCell ref="T143:U143"/>
    <mergeCell ref="E144:J144"/>
    <mergeCell ref="K144:O144"/>
    <mergeCell ref="P144:S144"/>
    <mergeCell ref="T144:U144"/>
    <mergeCell ref="A141:D141"/>
    <mergeCell ref="E141:J141"/>
    <mergeCell ref="K141:O141"/>
    <mergeCell ref="P141:S141"/>
    <mergeCell ref="T141:U141"/>
    <mergeCell ref="E142:J142"/>
    <mergeCell ref="K142:O142"/>
    <mergeCell ref="P142:S142"/>
    <mergeCell ref="T142:U142"/>
    <mergeCell ref="D154:U154"/>
    <mergeCell ref="D155:U155"/>
    <mergeCell ref="D156:U156"/>
    <mergeCell ref="D157:U157"/>
    <mergeCell ref="D158:U158"/>
    <mergeCell ref="C161:U161"/>
    <mergeCell ref="E149:J149"/>
    <mergeCell ref="K149:O149"/>
    <mergeCell ref="P149:S149"/>
    <mergeCell ref="T149:U149"/>
    <mergeCell ref="E150:J150"/>
    <mergeCell ref="K150:O150"/>
    <mergeCell ref="P150:S150"/>
    <mergeCell ref="T150:U150"/>
    <mergeCell ref="E147:J147"/>
    <mergeCell ref="K147:O147"/>
    <mergeCell ref="P147:S147"/>
    <mergeCell ref="T147:U147"/>
    <mergeCell ref="E148:J148"/>
    <mergeCell ref="K148:O148"/>
    <mergeCell ref="P148:S148"/>
    <mergeCell ref="T148:U148"/>
    <mergeCell ref="E166:J166"/>
    <mergeCell ref="K166:O166"/>
    <mergeCell ref="P166:S166"/>
    <mergeCell ref="T166:U166"/>
    <mergeCell ref="E167:J167"/>
    <mergeCell ref="K167:O167"/>
    <mergeCell ref="P167:S167"/>
    <mergeCell ref="T167:U167"/>
    <mergeCell ref="E164:J164"/>
    <mergeCell ref="K164:O164"/>
    <mergeCell ref="P164:S164"/>
    <mergeCell ref="T164:U164"/>
    <mergeCell ref="E165:J165"/>
    <mergeCell ref="K165:O165"/>
    <mergeCell ref="P165:S165"/>
    <mergeCell ref="T165:U165"/>
    <mergeCell ref="D162:U162"/>
    <mergeCell ref="A163:D163"/>
    <mergeCell ref="E163:J163"/>
    <mergeCell ref="K163:O163"/>
    <mergeCell ref="P163:S163"/>
    <mergeCell ref="T163:U163"/>
    <mergeCell ref="E172:J172"/>
    <mergeCell ref="K172:O172"/>
    <mergeCell ref="P172:S172"/>
    <mergeCell ref="T172:U172"/>
    <mergeCell ref="D174:U174"/>
    <mergeCell ref="V174:AL174"/>
    <mergeCell ref="E170:J170"/>
    <mergeCell ref="K170:O170"/>
    <mergeCell ref="P170:S170"/>
    <mergeCell ref="T170:U170"/>
    <mergeCell ref="E171:J171"/>
    <mergeCell ref="K171:O171"/>
    <mergeCell ref="P171:S171"/>
    <mergeCell ref="T171:U171"/>
    <mergeCell ref="E168:J168"/>
    <mergeCell ref="K168:O168"/>
    <mergeCell ref="P168:S168"/>
    <mergeCell ref="T168:U168"/>
    <mergeCell ref="E169:J169"/>
    <mergeCell ref="K169:O169"/>
    <mergeCell ref="P169:S169"/>
    <mergeCell ref="T169:U169"/>
    <mergeCell ref="E187:U187"/>
    <mergeCell ref="E188:U188"/>
    <mergeCell ref="F189:U189"/>
    <mergeCell ref="F190:U190"/>
    <mergeCell ref="F191:U191"/>
    <mergeCell ref="E192:U192"/>
    <mergeCell ref="D181:U181"/>
    <mergeCell ref="D182:U182"/>
    <mergeCell ref="D183:U183"/>
    <mergeCell ref="D184:U184"/>
    <mergeCell ref="D185:U185"/>
    <mergeCell ref="E186:U186"/>
    <mergeCell ref="D175:U175"/>
    <mergeCell ref="V175:AL175"/>
    <mergeCell ref="D176:U176"/>
    <mergeCell ref="V176:AL176"/>
    <mergeCell ref="D177:U177"/>
    <mergeCell ref="D180:U180"/>
    <mergeCell ref="C213:U213"/>
    <mergeCell ref="V213:AM213"/>
    <mergeCell ref="A214:A215"/>
    <mergeCell ref="C215:U215"/>
    <mergeCell ref="V215:AM215"/>
    <mergeCell ref="C216:U216"/>
    <mergeCell ref="V216:AM216"/>
    <mergeCell ref="D200:U200"/>
    <mergeCell ref="D201:U201"/>
    <mergeCell ref="C202:U202"/>
    <mergeCell ref="A209:T209"/>
    <mergeCell ref="A210:T210"/>
    <mergeCell ref="C212:U212"/>
    <mergeCell ref="D193:U193"/>
    <mergeCell ref="F195:U195"/>
    <mergeCell ref="F196:U196"/>
    <mergeCell ref="F197:U197"/>
    <mergeCell ref="F198:U198"/>
    <mergeCell ref="F199:U199"/>
    <mergeCell ref="V220:X220"/>
    <mergeCell ref="Y220:AB220"/>
    <mergeCell ref="AC220:AF220"/>
    <mergeCell ref="A221:C221"/>
    <mergeCell ref="D221:I221"/>
    <mergeCell ref="J221:N221"/>
    <mergeCell ref="O221:S221"/>
    <mergeCell ref="T221:U221"/>
    <mergeCell ref="V221:X221"/>
    <mergeCell ref="Y221:AB221"/>
    <mergeCell ref="B218:U218"/>
    <mergeCell ref="A219:C220"/>
    <mergeCell ref="D219:N219"/>
    <mergeCell ref="O219:S219"/>
    <mergeCell ref="T219:U220"/>
    <mergeCell ref="D220:I220"/>
    <mergeCell ref="J220:N220"/>
    <mergeCell ref="O220:S220"/>
    <mergeCell ref="Y223:AB223"/>
    <mergeCell ref="AC223:AF223"/>
    <mergeCell ref="A224:C224"/>
    <mergeCell ref="D224:I224"/>
    <mergeCell ref="J224:N224"/>
    <mergeCell ref="O224:S224"/>
    <mergeCell ref="T224:U224"/>
    <mergeCell ref="V224:X224"/>
    <mergeCell ref="Y224:AB224"/>
    <mergeCell ref="AC224:AF224"/>
    <mergeCell ref="A223:C223"/>
    <mergeCell ref="D223:I223"/>
    <mergeCell ref="J223:N223"/>
    <mergeCell ref="O223:S223"/>
    <mergeCell ref="T223:U223"/>
    <mergeCell ref="V223:X223"/>
    <mergeCell ref="AC221:AF221"/>
    <mergeCell ref="A222:C222"/>
    <mergeCell ref="D222:I222"/>
    <mergeCell ref="J222:N222"/>
    <mergeCell ref="O222:S222"/>
    <mergeCell ref="T222:U222"/>
    <mergeCell ref="V222:X222"/>
    <mergeCell ref="Y222:AB222"/>
    <mergeCell ref="AC222:AF222"/>
    <mergeCell ref="Y227:AB227"/>
    <mergeCell ref="AC227:AF227"/>
    <mergeCell ref="A228:C228"/>
    <mergeCell ref="D228:I228"/>
    <mergeCell ref="J228:N228"/>
    <mergeCell ref="O228:S228"/>
    <mergeCell ref="T228:U228"/>
    <mergeCell ref="V228:X228"/>
    <mergeCell ref="Y228:AB228"/>
    <mergeCell ref="AC228:AF228"/>
    <mergeCell ref="A227:C227"/>
    <mergeCell ref="D227:I227"/>
    <mergeCell ref="J227:N227"/>
    <mergeCell ref="O227:S227"/>
    <mergeCell ref="T227:U227"/>
    <mergeCell ref="V227:X227"/>
    <mergeCell ref="Y225:AB225"/>
    <mergeCell ref="AC225:AF225"/>
    <mergeCell ref="A226:C226"/>
    <mergeCell ref="D226:I226"/>
    <mergeCell ref="J226:N226"/>
    <mergeCell ref="O226:S226"/>
    <mergeCell ref="T226:U226"/>
    <mergeCell ref="V226:X226"/>
    <mergeCell ref="Y226:AB226"/>
    <mergeCell ref="AC226:AF226"/>
    <mergeCell ref="A225:C225"/>
    <mergeCell ref="D225:I225"/>
    <mergeCell ref="J225:N225"/>
    <mergeCell ref="O225:S225"/>
    <mergeCell ref="T225:U225"/>
    <mergeCell ref="V225:X225"/>
    <mergeCell ref="Y231:AB231"/>
    <mergeCell ref="AC231:AF231"/>
    <mergeCell ref="A232:C232"/>
    <mergeCell ref="D232:I232"/>
    <mergeCell ref="J232:N232"/>
    <mergeCell ref="O232:S232"/>
    <mergeCell ref="T232:U232"/>
    <mergeCell ref="V232:X232"/>
    <mergeCell ref="Y232:AB232"/>
    <mergeCell ref="AC232:AF232"/>
    <mergeCell ref="A231:C231"/>
    <mergeCell ref="D231:I231"/>
    <mergeCell ref="J231:N231"/>
    <mergeCell ref="O231:S231"/>
    <mergeCell ref="T231:U231"/>
    <mergeCell ref="V231:X231"/>
    <mergeCell ref="Y229:AB229"/>
    <mergeCell ref="AC229:AF229"/>
    <mergeCell ref="A230:C230"/>
    <mergeCell ref="D230:I230"/>
    <mergeCell ref="J230:N230"/>
    <mergeCell ref="O230:S230"/>
    <mergeCell ref="T230:U230"/>
    <mergeCell ref="V230:X230"/>
    <mergeCell ref="Y230:AB230"/>
    <mergeCell ref="AC230:AF230"/>
    <mergeCell ref="A229:C229"/>
    <mergeCell ref="D229:I229"/>
    <mergeCell ref="J229:N229"/>
    <mergeCell ref="O229:S229"/>
    <mergeCell ref="T229:U229"/>
    <mergeCell ref="V229:X229"/>
    <mergeCell ref="A243:C244"/>
    <mergeCell ref="D243:N243"/>
    <mergeCell ref="O243:S243"/>
    <mergeCell ref="T243:U244"/>
    <mergeCell ref="D244:I244"/>
    <mergeCell ref="J244:N244"/>
    <mergeCell ref="O244:S244"/>
    <mergeCell ref="C236:U236"/>
    <mergeCell ref="C237:U237"/>
    <mergeCell ref="D239:U239"/>
    <mergeCell ref="D240:U240"/>
    <mergeCell ref="V240:AL240"/>
    <mergeCell ref="D241:U241"/>
    <mergeCell ref="Y233:AB233"/>
    <mergeCell ref="AC233:AF233"/>
    <mergeCell ref="A234:C234"/>
    <mergeCell ref="D234:I234"/>
    <mergeCell ref="J234:N234"/>
    <mergeCell ref="O234:S234"/>
    <mergeCell ref="T234:U234"/>
    <mergeCell ref="V234:X234"/>
    <mergeCell ref="Y234:AB234"/>
    <mergeCell ref="AC234:AF234"/>
    <mergeCell ref="A233:C233"/>
    <mergeCell ref="D233:I233"/>
    <mergeCell ref="J233:N233"/>
    <mergeCell ref="O233:S233"/>
    <mergeCell ref="T233:U233"/>
    <mergeCell ref="V233:X233"/>
    <mergeCell ref="A247:C247"/>
    <mergeCell ref="D247:I247"/>
    <mergeCell ref="J247:N247"/>
    <mergeCell ref="O247:S247"/>
    <mergeCell ref="T247:U247"/>
    <mergeCell ref="A248:C248"/>
    <mergeCell ref="D248:I248"/>
    <mergeCell ref="J248:N248"/>
    <mergeCell ref="O248:S248"/>
    <mergeCell ref="T248:U248"/>
    <mergeCell ref="A245:C245"/>
    <mergeCell ref="D245:I245"/>
    <mergeCell ref="J245:N245"/>
    <mergeCell ref="O245:S245"/>
    <mergeCell ref="T245:U245"/>
    <mergeCell ref="A246:C246"/>
    <mergeCell ref="D246:I246"/>
    <mergeCell ref="J246:N246"/>
    <mergeCell ref="O246:S246"/>
    <mergeCell ref="T246:U246"/>
    <mergeCell ref="E258:F258"/>
    <mergeCell ref="G258:O258"/>
    <mergeCell ref="P258:U258"/>
    <mergeCell ref="E259:F259"/>
    <mergeCell ref="G259:O259"/>
    <mergeCell ref="P259:U259"/>
    <mergeCell ref="D252:U252"/>
    <mergeCell ref="V252:AL252"/>
    <mergeCell ref="E254:U254"/>
    <mergeCell ref="E255:U255"/>
    <mergeCell ref="E257:F257"/>
    <mergeCell ref="G257:O257"/>
    <mergeCell ref="P257:U257"/>
    <mergeCell ref="A249:C249"/>
    <mergeCell ref="D249:I249"/>
    <mergeCell ref="J249:N249"/>
    <mergeCell ref="O249:S249"/>
    <mergeCell ref="T249:U249"/>
    <mergeCell ref="A250:C250"/>
    <mergeCell ref="D250:I250"/>
    <mergeCell ref="J250:N250"/>
    <mergeCell ref="O250:S250"/>
    <mergeCell ref="T250:U250"/>
    <mergeCell ref="E264:F264"/>
    <mergeCell ref="G264:O264"/>
    <mergeCell ref="P264:U264"/>
    <mergeCell ref="E265:F265"/>
    <mergeCell ref="G265:O265"/>
    <mergeCell ref="P265:U265"/>
    <mergeCell ref="E262:F262"/>
    <mergeCell ref="G262:O262"/>
    <mergeCell ref="P262:U262"/>
    <mergeCell ref="E263:F263"/>
    <mergeCell ref="G263:O263"/>
    <mergeCell ref="P263:U263"/>
    <mergeCell ref="E260:F260"/>
    <mergeCell ref="G260:O260"/>
    <mergeCell ref="P260:U260"/>
    <mergeCell ref="E261:F261"/>
    <mergeCell ref="G261:O261"/>
    <mergeCell ref="P261:U261"/>
    <mergeCell ref="E276:F276"/>
    <mergeCell ref="G276:O276"/>
    <mergeCell ref="P276:U276"/>
    <mergeCell ref="E277:F277"/>
    <mergeCell ref="G277:O277"/>
    <mergeCell ref="P277:U277"/>
    <mergeCell ref="E268:O268"/>
    <mergeCell ref="P268:U268"/>
    <mergeCell ref="E272:U272"/>
    <mergeCell ref="E273:U273"/>
    <mergeCell ref="E275:F275"/>
    <mergeCell ref="G275:O275"/>
    <mergeCell ref="P275:U275"/>
    <mergeCell ref="E266:F266"/>
    <mergeCell ref="G266:O266"/>
    <mergeCell ref="P266:U266"/>
    <mergeCell ref="E267:F267"/>
    <mergeCell ref="G267:O267"/>
    <mergeCell ref="P267:U267"/>
    <mergeCell ref="E282:O282"/>
    <mergeCell ref="P282:U282"/>
    <mergeCell ref="E284:U284"/>
    <mergeCell ref="E285:U285"/>
    <mergeCell ref="E287:F287"/>
    <mergeCell ref="G287:O287"/>
    <mergeCell ref="P287:U287"/>
    <mergeCell ref="E280:F280"/>
    <mergeCell ref="G280:O280"/>
    <mergeCell ref="P280:U280"/>
    <mergeCell ref="E281:F281"/>
    <mergeCell ref="G281:O281"/>
    <mergeCell ref="P281:U281"/>
    <mergeCell ref="E278:F278"/>
    <mergeCell ref="G278:O278"/>
    <mergeCell ref="P278:U278"/>
    <mergeCell ref="E279:F279"/>
    <mergeCell ref="G279:O279"/>
    <mergeCell ref="P279:U279"/>
    <mergeCell ref="E296:F296"/>
    <mergeCell ref="G296:O296"/>
    <mergeCell ref="P296:U296"/>
    <mergeCell ref="E297:F297"/>
    <mergeCell ref="G297:O297"/>
    <mergeCell ref="P297:U297"/>
    <mergeCell ref="E290:O290"/>
    <mergeCell ref="P290:U290"/>
    <mergeCell ref="E292:U292"/>
    <mergeCell ref="E293:U293"/>
    <mergeCell ref="E295:F295"/>
    <mergeCell ref="G295:O295"/>
    <mergeCell ref="P295:U295"/>
    <mergeCell ref="E288:F288"/>
    <mergeCell ref="G288:O288"/>
    <mergeCell ref="P288:U288"/>
    <mergeCell ref="E289:F289"/>
    <mergeCell ref="G289:O289"/>
    <mergeCell ref="P289:U289"/>
    <mergeCell ref="E302:O302"/>
    <mergeCell ref="P302:U302"/>
    <mergeCell ref="D304:U304"/>
    <mergeCell ref="V304:AL304"/>
    <mergeCell ref="D305:U305"/>
    <mergeCell ref="V305:AL305"/>
    <mergeCell ref="E300:F300"/>
    <mergeCell ref="G300:O300"/>
    <mergeCell ref="P300:U300"/>
    <mergeCell ref="E301:F301"/>
    <mergeCell ref="G301:O301"/>
    <mergeCell ref="P301:U301"/>
    <mergeCell ref="E298:F298"/>
    <mergeCell ref="G298:O298"/>
    <mergeCell ref="P298:U298"/>
    <mergeCell ref="E299:F299"/>
    <mergeCell ref="G299:O299"/>
    <mergeCell ref="P299:U299"/>
    <mergeCell ref="A310:C310"/>
    <mergeCell ref="D310:I310"/>
    <mergeCell ref="J310:N310"/>
    <mergeCell ref="O310:S310"/>
    <mergeCell ref="T310:U310"/>
    <mergeCell ref="A311:C311"/>
    <mergeCell ref="D311:I311"/>
    <mergeCell ref="J311:N311"/>
    <mergeCell ref="O311:S311"/>
    <mergeCell ref="T311:U311"/>
    <mergeCell ref="D306:U306"/>
    <mergeCell ref="V306:AL306"/>
    <mergeCell ref="V307:AL307"/>
    <mergeCell ref="A308:C309"/>
    <mergeCell ref="D308:N308"/>
    <mergeCell ref="O308:S308"/>
    <mergeCell ref="T308:U309"/>
    <mergeCell ref="D309:I309"/>
    <mergeCell ref="J309:N309"/>
    <mergeCell ref="O309:S309"/>
    <mergeCell ref="D315:U315"/>
    <mergeCell ref="D316:U316"/>
    <mergeCell ref="D317:U317"/>
    <mergeCell ref="A319:C320"/>
    <mergeCell ref="D319:N319"/>
    <mergeCell ref="O319:S319"/>
    <mergeCell ref="T319:U320"/>
    <mergeCell ref="D320:I320"/>
    <mergeCell ref="J320:N320"/>
    <mergeCell ref="O320:S320"/>
    <mergeCell ref="A312:C312"/>
    <mergeCell ref="D312:I312"/>
    <mergeCell ref="J312:N312"/>
    <mergeCell ref="O312:S312"/>
    <mergeCell ref="T312:U312"/>
    <mergeCell ref="A313:C313"/>
    <mergeCell ref="D313:I313"/>
    <mergeCell ref="J313:N313"/>
    <mergeCell ref="O313:S313"/>
    <mergeCell ref="T313:U313"/>
    <mergeCell ref="A323:C323"/>
    <mergeCell ref="D323:I323"/>
    <mergeCell ref="J323:N323"/>
    <mergeCell ref="O323:S323"/>
    <mergeCell ref="T323:U323"/>
    <mergeCell ref="A324:C324"/>
    <mergeCell ref="D324:I324"/>
    <mergeCell ref="J324:N324"/>
    <mergeCell ref="O324:S324"/>
    <mergeCell ref="T324:U324"/>
    <mergeCell ref="A321:C321"/>
    <mergeCell ref="D321:I321"/>
    <mergeCell ref="J321:N321"/>
    <mergeCell ref="O321:S321"/>
    <mergeCell ref="T321:U321"/>
    <mergeCell ref="A322:C322"/>
    <mergeCell ref="D322:I322"/>
    <mergeCell ref="J322:N322"/>
    <mergeCell ref="O322:S322"/>
    <mergeCell ref="T322:U322"/>
    <mergeCell ref="C345:U345"/>
    <mergeCell ref="B347:U347"/>
    <mergeCell ref="A348:D348"/>
    <mergeCell ref="E348:I348"/>
    <mergeCell ref="J348:N348"/>
    <mergeCell ref="O348:S348"/>
    <mergeCell ref="T348:U348"/>
    <mergeCell ref="AB336:AE336"/>
    <mergeCell ref="AF336:AI336"/>
    <mergeCell ref="V337:AA337"/>
    <mergeCell ref="AB337:AE337"/>
    <mergeCell ref="AF337:AI337"/>
    <mergeCell ref="V338:AA338"/>
    <mergeCell ref="AB338:AE338"/>
    <mergeCell ref="AF338:AI338"/>
    <mergeCell ref="E325:U325"/>
    <mergeCell ref="A326:A345"/>
    <mergeCell ref="C327:U327"/>
    <mergeCell ref="C328:U328"/>
    <mergeCell ref="AB334:AE334"/>
    <mergeCell ref="AF334:AI334"/>
    <mergeCell ref="V335:AA335"/>
    <mergeCell ref="AB335:AE335"/>
    <mergeCell ref="AF335:AI335"/>
    <mergeCell ref="V336:AA336"/>
    <mergeCell ref="AC349:AF349"/>
    <mergeCell ref="A350:D350"/>
    <mergeCell ref="E350:I350"/>
    <mergeCell ref="J350:N350"/>
    <mergeCell ref="O350:S350"/>
    <mergeCell ref="T350:U350"/>
    <mergeCell ref="V350:X350"/>
    <mergeCell ref="Y350:AB350"/>
    <mergeCell ref="AC350:AF350"/>
    <mergeCell ref="V348:X348"/>
    <mergeCell ref="Y348:AB348"/>
    <mergeCell ref="AC348:AF348"/>
    <mergeCell ref="A349:D349"/>
    <mergeCell ref="E349:I349"/>
    <mergeCell ref="J349:N349"/>
    <mergeCell ref="O349:S349"/>
    <mergeCell ref="T349:U349"/>
    <mergeCell ref="V349:X349"/>
    <mergeCell ref="Y349:AB349"/>
    <mergeCell ref="Y353:AB353"/>
    <mergeCell ref="AC353:AF353"/>
    <mergeCell ref="B355:U355"/>
    <mergeCell ref="B356:U356"/>
    <mergeCell ref="C357:T357"/>
    <mergeCell ref="C358:T358"/>
    <mergeCell ref="A353:D353"/>
    <mergeCell ref="E353:I353"/>
    <mergeCell ref="J353:N353"/>
    <mergeCell ref="O353:S353"/>
    <mergeCell ref="T353:U353"/>
    <mergeCell ref="V353:X353"/>
    <mergeCell ref="Y351:AB351"/>
    <mergeCell ref="AC351:AF351"/>
    <mergeCell ref="A352:D352"/>
    <mergeCell ref="E352:I352"/>
    <mergeCell ref="J352:N352"/>
    <mergeCell ref="O352:S352"/>
    <mergeCell ref="T352:U352"/>
    <mergeCell ref="V352:X352"/>
    <mergeCell ref="Y352:AB352"/>
    <mergeCell ref="AC352:AF352"/>
    <mergeCell ref="A351:D351"/>
    <mergeCell ref="E351:I351"/>
    <mergeCell ref="J351:N351"/>
    <mergeCell ref="O351:S351"/>
    <mergeCell ref="T351:U351"/>
    <mergeCell ref="V351:X351"/>
    <mergeCell ref="Y369:AB369"/>
    <mergeCell ref="AC369:AF369"/>
    <mergeCell ref="A370:D370"/>
    <mergeCell ref="E370:I370"/>
    <mergeCell ref="J370:N370"/>
    <mergeCell ref="O370:S370"/>
    <mergeCell ref="T370:U370"/>
    <mergeCell ref="V370:X370"/>
    <mergeCell ref="Y370:AB370"/>
    <mergeCell ref="AC370:AF370"/>
    <mergeCell ref="A369:D369"/>
    <mergeCell ref="E369:I369"/>
    <mergeCell ref="J369:N369"/>
    <mergeCell ref="O369:S369"/>
    <mergeCell ref="T369:U369"/>
    <mergeCell ref="V369:X369"/>
    <mergeCell ref="C359:T359"/>
    <mergeCell ref="B364:U364"/>
    <mergeCell ref="A365:A366"/>
    <mergeCell ref="C366:U366"/>
    <mergeCell ref="C367:U367"/>
    <mergeCell ref="B368:T368"/>
    <mergeCell ref="Y373:AB373"/>
    <mergeCell ref="AC373:AF373"/>
    <mergeCell ref="A374:D374"/>
    <mergeCell ref="E374:I374"/>
    <mergeCell ref="J374:N374"/>
    <mergeCell ref="O374:S374"/>
    <mergeCell ref="T374:U374"/>
    <mergeCell ref="V374:X374"/>
    <mergeCell ref="Y374:AB374"/>
    <mergeCell ref="AC374:AF374"/>
    <mergeCell ref="A373:D373"/>
    <mergeCell ref="E373:I373"/>
    <mergeCell ref="J373:N373"/>
    <mergeCell ref="O373:S373"/>
    <mergeCell ref="T373:U373"/>
    <mergeCell ref="V373:X373"/>
    <mergeCell ref="Y371:AB371"/>
    <mergeCell ref="AC371:AF371"/>
    <mergeCell ref="A372:D372"/>
    <mergeCell ref="E372:I372"/>
    <mergeCell ref="J372:N372"/>
    <mergeCell ref="O372:S372"/>
    <mergeCell ref="T372:U372"/>
    <mergeCell ref="V372:X372"/>
    <mergeCell ref="Y372:AB372"/>
    <mergeCell ref="AC372:AF372"/>
    <mergeCell ref="A371:D371"/>
    <mergeCell ref="E371:I371"/>
    <mergeCell ref="J371:N371"/>
    <mergeCell ref="O371:S371"/>
    <mergeCell ref="T371:U371"/>
    <mergeCell ref="V371:X371"/>
    <mergeCell ref="Y386:AB386"/>
    <mergeCell ref="AC386:AF386"/>
    <mergeCell ref="A387:D387"/>
    <mergeCell ref="E387:I387"/>
    <mergeCell ref="J387:N387"/>
    <mergeCell ref="O387:S387"/>
    <mergeCell ref="T387:U387"/>
    <mergeCell ref="V387:X387"/>
    <mergeCell ref="Y387:AB387"/>
    <mergeCell ref="AC387:AF387"/>
    <mergeCell ref="A386:D386"/>
    <mergeCell ref="E386:I386"/>
    <mergeCell ref="J386:N386"/>
    <mergeCell ref="O386:S386"/>
    <mergeCell ref="T386:U386"/>
    <mergeCell ref="V386:X386"/>
    <mergeCell ref="C376:U376"/>
    <mergeCell ref="C377:U377"/>
    <mergeCell ref="C378:U378"/>
    <mergeCell ref="D379:U379"/>
    <mergeCell ref="D380:U380"/>
    <mergeCell ref="B385:U385"/>
    <mergeCell ref="Y390:AB390"/>
    <mergeCell ref="AC390:AF390"/>
    <mergeCell ref="A391:D391"/>
    <mergeCell ref="E391:I391"/>
    <mergeCell ref="J391:N391"/>
    <mergeCell ref="O391:S391"/>
    <mergeCell ref="T391:U391"/>
    <mergeCell ref="V391:X391"/>
    <mergeCell ref="Y391:AB391"/>
    <mergeCell ref="AC391:AF391"/>
    <mergeCell ref="A390:D390"/>
    <mergeCell ref="E390:I390"/>
    <mergeCell ref="J390:N390"/>
    <mergeCell ref="O390:S390"/>
    <mergeCell ref="T390:U390"/>
    <mergeCell ref="V390:X390"/>
    <mergeCell ref="Y388:AB388"/>
    <mergeCell ref="AC388:AF388"/>
    <mergeCell ref="A389:D389"/>
    <mergeCell ref="E389:I389"/>
    <mergeCell ref="J389:N389"/>
    <mergeCell ref="O389:S389"/>
    <mergeCell ref="T389:U389"/>
    <mergeCell ref="V389:X389"/>
    <mergeCell ref="Y389:AB389"/>
    <mergeCell ref="AC389:AF389"/>
    <mergeCell ref="A388:D388"/>
    <mergeCell ref="E388:I388"/>
    <mergeCell ref="J388:N388"/>
    <mergeCell ref="O388:S388"/>
    <mergeCell ref="T388:U388"/>
    <mergeCell ref="V388:X388"/>
    <mergeCell ref="Y394:AB394"/>
    <mergeCell ref="AC394:AF394"/>
    <mergeCell ref="D396:U396"/>
    <mergeCell ref="D399:U399"/>
    <mergeCell ref="D400:U400"/>
    <mergeCell ref="B401:U401"/>
    <mergeCell ref="A394:D394"/>
    <mergeCell ref="E394:I394"/>
    <mergeCell ref="J394:N394"/>
    <mergeCell ref="O394:S394"/>
    <mergeCell ref="T394:U394"/>
    <mergeCell ref="V394:X394"/>
    <mergeCell ref="Y392:AB392"/>
    <mergeCell ref="AC392:AF392"/>
    <mergeCell ref="A393:D393"/>
    <mergeCell ref="E393:I393"/>
    <mergeCell ref="J393:N393"/>
    <mergeCell ref="O393:S393"/>
    <mergeCell ref="T393:U393"/>
    <mergeCell ref="V393:X393"/>
    <mergeCell ref="Y393:AB393"/>
    <mergeCell ref="AC393:AF393"/>
    <mergeCell ref="A392:D392"/>
    <mergeCell ref="E392:I392"/>
    <mergeCell ref="J392:N392"/>
    <mergeCell ref="O392:S392"/>
    <mergeCell ref="T392:U392"/>
    <mergeCell ref="V392:X392"/>
    <mergeCell ref="Y404:AB404"/>
    <mergeCell ref="AC404:AF404"/>
    <mergeCell ref="A405:D405"/>
    <mergeCell ref="E405:I405"/>
    <mergeCell ref="J405:N405"/>
    <mergeCell ref="O405:S405"/>
    <mergeCell ref="T405:U405"/>
    <mergeCell ref="V405:X405"/>
    <mergeCell ref="Y405:AB405"/>
    <mergeCell ref="AC405:AF405"/>
    <mergeCell ref="A404:D404"/>
    <mergeCell ref="E404:I404"/>
    <mergeCell ref="J404:N404"/>
    <mergeCell ref="O404:S404"/>
    <mergeCell ref="T404:U404"/>
    <mergeCell ref="V404:X404"/>
    <mergeCell ref="Y402:AB402"/>
    <mergeCell ref="AC402:AF402"/>
    <mergeCell ref="A403:D403"/>
    <mergeCell ref="E403:I403"/>
    <mergeCell ref="J403:N403"/>
    <mergeCell ref="O403:S403"/>
    <mergeCell ref="T403:U403"/>
    <mergeCell ref="V403:X403"/>
    <mergeCell ref="Y403:AB403"/>
    <mergeCell ref="AC403:AF403"/>
    <mergeCell ref="A402:D402"/>
    <mergeCell ref="E402:I402"/>
    <mergeCell ref="J402:N402"/>
    <mergeCell ref="O402:S402"/>
    <mergeCell ref="T402:U402"/>
    <mergeCell ref="V402:X402"/>
    <mergeCell ref="Y408:AB408"/>
    <mergeCell ref="AC408:AF408"/>
    <mergeCell ref="A409:D409"/>
    <mergeCell ref="E409:I409"/>
    <mergeCell ref="J409:N409"/>
    <mergeCell ref="O409:S409"/>
    <mergeCell ref="T409:U409"/>
    <mergeCell ref="V409:X409"/>
    <mergeCell ref="Y409:AB409"/>
    <mergeCell ref="AC409:AF409"/>
    <mergeCell ref="A408:D408"/>
    <mergeCell ref="E408:I408"/>
    <mergeCell ref="J408:N408"/>
    <mergeCell ref="O408:S408"/>
    <mergeCell ref="T408:U408"/>
    <mergeCell ref="V408:X408"/>
    <mergeCell ref="Y406:AB406"/>
    <mergeCell ref="AC406:AF406"/>
    <mergeCell ref="A407:D407"/>
    <mergeCell ref="E407:I407"/>
    <mergeCell ref="J407:N407"/>
    <mergeCell ref="O407:S407"/>
    <mergeCell ref="T407:U407"/>
    <mergeCell ref="V407:X407"/>
    <mergeCell ref="Y407:AB407"/>
    <mergeCell ref="AC407:AF407"/>
    <mergeCell ref="A406:D406"/>
    <mergeCell ref="E406:I406"/>
    <mergeCell ref="J406:N406"/>
    <mergeCell ref="O406:S406"/>
    <mergeCell ref="T406:U406"/>
    <mergeCell ref="V406:X406"/>
    <mergeCell ref="Y412:AB412"/>
    <mergeCell ref="AC412:AF412"/>
    <mergeCell ref="A413:D413"/>
    <mergeCell ref="E413:I413"/>
    <mergeCell ref="J413:N413"/>
    <mergeCell ref="O413:S413"/>
    <mergeCell ref="T413:U413"/>
    <mergeCell ref="V413:X413"/>
    <mergeCell ref="Y413:AB413"/>
    <mergeCell ref="AC413:AF413"/>
    <mergeCell ref="A412:D412"/>
    <mergeCell ref="E412:I412"/>
    <mergeCell ref="J412:N412"/>
    <mergeCell ref="O412:S412"/>
    <mergeCell ref="T412:U412"/>
    <mergeCell ref="V412:X412"/>
    <mergeCell ref="Y410:AB410"/>
    <mergeCell ref="AC410:AF410"/>
    <mergeCell ref="A411:D411"/>
    <mergeCell ref="E411:I411"/>
    <mergeCell ref="J411:N411"/>
    <mergeCell ref="O411:S411"/>
    <mergeCell ref="T411:U411"/>
    <mergeCell ref="V411:X411"/>
    <mergeCell ref="Y411:AB411"/>
    <mergeCell ref="AC411:AF411"/>
    <mergeCell ref="A410:D410"/>
    <mergeCell ref="E410:I410"/>
    <mergeCell ref="J410:N410"/>
    <mergeCell ref="O410:S410"/>
    <mergeCell ref="T410:U410"/>
    <mergeCell ref="V410:X410"/>
    <mergeCell ref="Y416:AB416"/>
    <mergeCell ref="AC416:AF416"/>
    <mergeCell ref="A417:D417"/>
    <mergeCell ref="E417:I417"/>
    <mergeCell ref="J417:N417"/>
    <mergeCell ref="O417:S417"/>
    <mergeCell ref="T417:U417"/>
    <mergeCell ref="V417:X417"/>
    <mergeCell ref="Y417:AB417"/>
    <mergeCell ref="AC417:AF417"/>
    <mergeCell ref="A416:D416"/>
    <mergeCell ref="E416:I416"/>
    <mergeCell ref="J416:N416"/>
    <mergeCell ref="O416:S416"/>
    <mergeCell ref="T416:U416"/>
    <mergeCell ref="V416:X416"/>
    <mergeCell ref="Y414:AB414"/>
    <mergeCell ref="AC414:AF414"/>
    <mergeCell ref="A415:D415"/>
    <mergeCell ref="E415:I415"/>
    <mergeCell ref="J415:N415"/>
    <mergeCell ref="O415:S415"/>
    <mergeCell ref="T415:U415"/>
    <mergeCell ref="V415:X415"/>
    <mergeCell ref="Y415:AB415"/>
    <mergeCell ref="AC415:AF415"/>
    <mergeCell ref="A414:D414"/>
    <mergeCell ref="E414:I414"/>
    <mergeCell ref="J414:N414"/>
    <mergeCell ref="O414:S414"/>
    <mergeCell ref="T414:U414"/>
    <mergeCell ref="V414:X414"/>
    <mergeCell ref="Y420:AB420"/>
    <mergeCell ref="AC420:AF420"/>
    <mergeCell ref="A421:D421"/>
    <mergeCell ref="E421:I421"/>
    <mergeCell ref="J421:N421"/>
    <mergeCell ref="O421:S421"/>
    <mergeCell ref="T421:U421"/>
    <mergeCell ref="V421:X421"/>
    <mergeCell ref="Y421:AB421"/>
    <mergeCell ref="AC421:AF421"/>
    <mergeCell ref="A420:D420"/>
    <mergeCell ref="E420:I420"/>
    <mergeCell ref="J420:N420"/>
    <mergeCell ref="O420:S420"/>
    <mergeCell ref="T420:U420"/>
    <mergeCell ref="V420:X420"/>
    <mergeCell ref="Y418:AB418"/>
    <mergeCell ref="AC418:AF418"/>
    <mergeCell ref="A419:D419"/>
    <mergeCell ref="E419:I419"/>
    <mergeCell ref="J419:N419"/>
    <mergeCell ref="O419:S419"/>
    <mergeCell ref="T419:U419"/>
    <mergeCell ref="V419:X419"/>
    <mergeCell ref="Y419:AB419"/>
    <mergeCell ref="AC419:AF419"/>
    <mergeCell ref="A418:D418"/>
    <mergeCell ref="E418:I418"/>
    <mergeCell ref="J418:N418"/>
    <mergeCell ref="O418:S418"/>
    <mergeCell ref="T418:U418"/>
    <mergeCell ref="V418:X418"/>
    <mergeCell ref="V428:X428"/>
    <mergeCell ref="Y428:AB428"/>
    <mergeCell ref="AC428:AF428"/>
    <mergeCell ref="A429:D429"/>
    <mergeCell ref="E429:I429"/>
    <mergeCell ref="J429:N429"/>
    <mergeCell ref="O429:S429"/>
    <mergeCell ref="T429:U429"/>
    <mergeCell ref="V429:X429"/>
    <mergeCell ref="Y429:AB429"/>
    <mergeCell ref="D423:U423"/>
    <mergeCell ref="D425:U425"/>
    <mergeCell ref="D426:U426"/>
    <mergeCell ref="B427:U427"/>
    <mergeCell ref="A428:D428"/>
    <mergeCell ref="E428:I428"/>
    <mergeCell ref="J428:N428"/>
    <mergeCell ref="O428:S428"/>
    <mergeCell ref="T428:U428"/>
    <mergeCell ref="A439:A441"/>
    <mergeCell ref="D440:U440"/>
    <mergeCell ref="D441:U441"/>
    <mergeCell ref="V441:AM441"/>
    <mergeCell ref="D443:U443"/>
    <mergeCell ref="B445:U445"/>
    <mergeCell ref="Y435:AB435"/>
    <mergeCell ref="AC435:AF435"/>
    <mergeCell ref="A436:D436"/>
    <mergeCell ref="E436:I436"/>
    <mergeCell ref="J436:N436"/>
    <mergeCell ref="O436:S436"/>
    <mergeCell ref="T436:U436"/>
    <mergeCell ref="V436:X436"/>
    <mergeCell ref="Y436:AB436"/>
    <mergeCell ref="AC436:AF436"/>
    <mergeCell ref="AC429:AF429"/>
    <mergeCell ref="D432:U432"/>
    <mergeCell ref="D433:U433"/>
    <mergeCell ref="B434:U434"/>
    <mergeCell ref="A435:D435"/>
    <mergeCell ref="E435:I435"/>
    <mergeCell ref="J435:N435"/>
    <mergeCell ref="O435:S435"/>
    <mergeCell ref="T435:U435"/>
    <mergeCell ref="V435:X435"/>
    <mergeCell ref="Y448:AB448"/>
    <mergeCell ref="AC448:AF448"/>
    <mergeCell ref="A449:D449"/>
    <mergeCell ref="E449:I449"/>
    <mergeCell ref="J449:N449"/>
    <mergeCell ref="O449:S449"/>
    <mergeCell ref="T449:U449"/>
    <mergeCell ref="V449:X449"/>
    <mergeCell ref="Y449:AB449"/>
    <mergeCell ref="AC449:AF449"/>
    <mergeCell ref="A448:D448"/>
    <mergeCell ref="E448:I448"/>
    <mergeCell ref="J448:N448"/>
    <mergeCell ref="O448:S448"/>
    <mergeCell ref="T448:U448"/>
    <mergeCell ref="V448:X448"/>
    <mergeCell ref="Y446:AB446"/>
    <mergeCell ref="AC446:AF446"/>
    <mergeCell ref="A447:D447"/>
    <mergeCell ref="E447:I447"/>
    <mergeCell ref="J447:N447"/>
    <mergeCell ref="O447:S447"/>
    <mergeCell ref="T447:U447"/>
    <mergeCell ref="V447:X447"/>
    <mergeCell ref="Y447:AB447"/>
    <mergeCell ref="AC447:AF447"/>
    <mergeCell ref="A446:D446"/>
    <mergeCell ref="E446:I446"/>
    <mergeCell ref="J446:N446"/>
    <mergeCell ref="O446:S446"/>
    <mergeCell ref="T446:U446"/>
    <mergeCell ref="V446:X446"/>
    <mergeCell ref="Y452:AB452"/>
    <mergeCell ref="AC452:AF452"/>
    <mergeCell ref="A453:D453"/>
    <mergeCell ref="E453:I453"/>
    <mergeCell ref="J453:N453"/>
    <mergeCell ref="O453:S453"/>
    <mergeCell ref="T453:U453"/>
    <mergeCell ref="V453:X453"/>
    <mergeCell ref="Y453:AB453"/>
    <mergeCell ref="AC453:AF453"/>
    <mergeCell ref="A452:D452"/>
    <mergeCell ref="E452:I452"/>
    <mergeCell ref="J452:N452"/>
    <mergeCell ref="O452:S452"/>
    <mergeCell ref="T452:U452"/>
    <mergeCell ref="V452:X452"/>
    <mergeCell ref="Y450:AB450"/>
    <mergeCell ref="AC450:AF450"/>
    <mergeCell ref="A451:D451"/>
    <mergeCell ref="E451:I451"/>
    <mergeCell ref="J451:N451"/>
    <mergeCell ref="O451:S451"/>
    <mergeCell ref="T451:U451"/>
    <mergeCell ref="V451:X451"/>
    <mergeCell ref="Y451:AB451"/>
    <mergeCell ref="AC451:AF451"/>
    <mergeCell ref="A450:D450"/>
    <mergeCell ref="E450:I450"/>
    <mergeCell ref="J450:N450"/>
    <mergeCell ref="O450:S450"/>
    <mergeCell ref="T450:U450"/>
    <mergeCell ref="V450:X450"/>
    <mergeCell ref="V463:X463"/>
    <mergeCell ref="Y463:AB463"/>
    <mergeCell ref="AC463:AF463"/>
    <mergeCell ref="A464:D464"/>
    <mergeCell ref="E464:I464"/>
    <mergeCell ref="J464:N464"/>
    <mergeCell ref="O464:S464"/>
    <mergeCell ref="T464:U464"/>
    <mergeCell ref="V464:X464"/>
    <mergeCell ref="Y464:AB464"/>
    <mergeCell ref="E456:U456"/>
    <mergeCell ref="E457:U457"/>
    <mergeCell ref="B462:U462"/>
    <mergeCell ref="A463:D463"/>
    <mergeCell ref="E463:I463"/>
    <mergeCell ref="J463:N463"/>
    <mergeCell ref="O463:S463"/>
    <mergeCell ref="T463:U463"/>
    <mergeCell ref="Y466:AB466"/>
    <mergeCell ref="AC466:AF466"/>
    <mergeCell ref="F468:U468"/>
    <mergeCell ref="F469:U469"/>
    <mergeCell ref="F471:U471"/>
    <mergeCell ref="F472:U472"/>
    <mergeCell ref="A466:D466"/>
    <mergeCell ref="E466:I466"/>
    <mergeCell ref="J466:N466"/>
    <mergeCell ref="O466:S466"/>
    <mergeCell ref="T466:U466"/>
    <mergeCell ref="V466:X466"/>
    <mergeCell ref="AC464:AF464"/>
    <mergeCell ref="A465:D465"/>
    <mergeCell ref="E465:I465"/>
    <mergeCell ref="J465:N465"/>
    <mergeCell ref="O465:S465"/>
    <mergeCell ref="T465:U465"/>
    <mergeCell ref="V465:X465"/>
    <mergeCell ref="Y465:AB465"/>
    <mergeCell ref="AC465:AF465"/>
    <mergeCell ref="Y478:AB478"/>
    <mergeCell ref="AC478:AF478"/>
    <mergeCell ref="A479:D479"/>
    <mergeCell ref="E479:I479"/>
    <mergeCell ref="J479:N479"/>
    <mergeCell ref="O479:S479"/>
    <mergeCell ref="T479:U479"/>
    <mergeCell ref="V479:X479"/>
    <mergeCell ref="Y479:AB479"/>
    <mergeCell ref="AC479:AF479"/>
    <mergeCell ref="E475:U475"/>
    <mergeCell ref="V475:AL475"/>
    <mergeCell ref="B477:U477"/>
    <mergeCell ref="V477:AL477"/>
    <mergeCell ref="A478:D478"/>
    <mergeCell ref="E478:I478"/>
    <mergeCell ref="J478:N478"/>
    <mergeCell ref="O478:S478"/>
    <mergeCell ref="T478:U478"/>
    <mergeCell ref="V478:X478"/>
    <mergeCell ref="Y482:AB482"/>
    <mergeCell ref="AC482:AF482"/>
    <mergeCell ref="A483:D483"/>
    <mergeCell ref="E483:I483"/>
    <mergeCell ref="J483:N483"/>
    <mergeCell ref="O483:S483"/>
    <mergeCell ref="T483:U483"/>
    <mergeCell ref="V483:X483"/>
    <mergeCell ref="Y483:AB483"/>
    <mergeCell ref="AC483:AF483"/>
    <mergeCell ref="A482:D482"/>
    <mergeCell ref="E482:I482"/>
    <mergeCell ref="J482:N482"/>
    <mergeCell ref="O482:S482"/>
    <mergeCell ref="T482:U482"/>
    <mergeCell ref="V482:X482"/>
    <mergeCell ref="Y480:AB480"/>
    <mergeCell ref="AC480:AF480"/>
    <mergeCell ref="A481:D481"/>
    <mergeCell ref="E481:I481"/>
    <mergeCell ref="J481:N481"/>
    <mergeCell ref="O481:S481"/>
    <mergeCell ref="T481:U481"/>
    <mergeCell ref="V481:X481"/>
    <mergeCell ref="Y481:AB481"/>
    <mergeCell ref="AC481:AF481"/>
    <mergeCell ref="A480:D480"/>
    <mergeCell ref="E480:I480"/>
    <mergeCell ref="J480:N480"/>
    <mergeCell ref="O480:S480"/>
    <mergeCell ref="T480:U480"/>
    <mergeCell ref="V480:X480"/>
    <mergeCell ref="Y486:AB486"/>
    <mergeCell ref="AC486:AF486"/>
    <mergeCell ref="A487:D487"/>
    <mergeCell ref="E487:I487"/>
    <mergeCell ref="J487:N487"/>
    <mergeCell ref="O487:S487"/>
    <mergeCell ref="T487:U487"/>
    <mergeCell ref="V487:X487"/>
    <mergeCell ref="Y487:AB487"/>
    <mergeCell ref="AC487:AF487"/>
    <mergeCell ref="A486:D486"/>
    <mergeCell ref="E486:I486"/>
    <mergeCell ref="J486:N486"/>
    <mergeCell ref="O486:S486"/>
    <mergeCell ref="T486:U486"/>
    <mergeCell ref="V486:X486"/>
    <mergeCell ref="Y484:AB484"/>
    <mergeCell ref="AC484:AF484"/>
    <mergeCell ref="A485:D485"/>
    <mergeCell ref="E485:I485"/>
    <mergeCell ref="J485:N485"/>
    <mergeCell ref="O485:S485"/>
    <mergeCell ref="T485:U485"/>
    <mergeCell ref="V485:X485"/>
    <mergeCell ref="Y485:AB485"/>
    <mergeCell ref="AC485:AF485"/>
    <mergeCell ref="A484:D484"/>
    <mergeCell ref="E484:I484"/>
    <mergeCell ref="J484:N484"/>
    <mergeCell ref="O484:S484"/>
    <mergeCell ref="T484:U484"/>
    <mergeCell ref="V484:X484"/>
    <mergeCell ref="E491:U491"/>
    <mergeCell ref="E492:U492"/>
    <mergeCell ref="E493:U493"/>
    <mergeCell ref="E494:U494"/>
    <mergeCell ref="E495:U495"/>
    <mergeCell ref="E496:U496"/>
    <mergeCell ref="Y488:AB488"/>
    <mergeCell ref="AC488:AF488"/>
    <mergeCell ref="A489:D489"/>
    <mergeCell ref="E489:I489"/>
    <mergeCell ref="J489:N489"/>
    <mergeCell ref="O489:S489"/>
    <mergeCell ref="T489:U489"/>
    <mergeCell ref="V489:X489"/>
    <mergeCell ref="Y489:AB489"/>
    <mergeCell ref="AC489:AF489"/>
    <mergeCell ref="A488:D488"/>
    <mergeCell ref="E488:I488"/>
    <mergeCell ref="J488:N488"/>
    <mergeCell ref="O488:S488"/>
    <mergeCell ref="T488:U488"/>
    <mergeCell ref="V488:X488"/>
    <mergeCell ref="Y500:AB500"/>
    <mergeCell ref="AC500:AF500"/>
    <mergeCell ref="A501:D501"/>
    <mergeCell ref="E501:I501"/>
    <mergeCell ref="J501:N501"/>
    <mergeCell ref="O501:S501"/>
    <mergeCell ref="T501:U501"/>
    <mergeCell ref="V501:X501"/>
    <mergeCell ref="Y501:AB501"/>
    <mergeCell ref="AC501:AF501"/>
    <mergeCell ref="A500:D500"/>
    <mergeCell ref="E500:I500"/>
    <mergeCell ref="J500:N500"/>
    <mergeCell ref="O500:S500"/>
    <mergeCell ref="T500:U500"/>
    <mergeCell ref="V500:X500"/>
    <mergeCell ref="Y498:AB498"/>
    <mergeCell ref="AC498:AF498"/>
    <mergeCell ref="A499:D499"/>
    <mergeCell ref="E499:I499"/>
    <mergeCell ref="J499:N499"/>
    <mergeCell ref="O499:S499"/>
    <mergeCell ref="T499:U499"/>
    <mergeCell ref="V499:X499"/>
    <mergeCell ref="Y499:AB499"/>
    <mergeCell ref="AC499:AF499"/>
    <mergeCell ref="A498:D498"/>
    <mergeCell ref="E498:I498"/>
    <mergeCell ref="J498:N498"/>
    <mergeCell ref="O498:S498"/>
    <mergeCell ref="T498:U498"/>
    <mergeCell ref="V498:X498"/>
    <mergeCell ref="E505:U505"/>
    <mergeCell ref="E506:U506"/>
    <mergeCell ref="E507:U507"/>
    <mergeCell ref="A509:D509"/>
    <mergeCell ref="E509:I509"/>
    <mergeCell ref="J509:N509"/>
    <mergeCell ref="O509:S509"/>
    <mergeCell ref="T509:U509"/>
    <mergeCell ref="Y502:AB502"/>
    <mergeCell ref="AC502:AF502"/>
    <mergeCell ref="A503:D503"/>
    <mergeCell ref="E503:I503"/>
    <mergeCell ref="J503:N503"/>
    <mergeCell ref="O503:S503"/>
    <mergeCell ref="T503:U503"/>
    <mergeCell ref="V503:X503"/>
    <mergeCell ref="Y503:AB503"/>
    <mergeCell ref="AC503:AF503"/>
    <mergeCell ref="A502:D502"/>
    <mergeCell ref="E502:I502"/>
    <mergeCell ref="J502:N502"/>
    <mergeCell ref="O502:S502"/>
    <mergeCell ref="T502:U502"/>
    <mergeCell ref="V502:X502"/>
    <mergeCell ref="AC510:AF510"/>
    <mergeCell ref="A511:D511"/>
    <mergeCell ref="E511:I511"/>
    <mergeCell ref="J511:N511"/>
    <mergeCell ref="O511:S511"/>
    <mergeCell ref="T511:U511"/>
    <mergeCell ref="V511:X511"/>
    <mergeCell ref="Y511:AB511"/>
    <mergeCell ref="AC511:AF511"/>
    <mergeCell ref="V509:X509"/>
    <mergeCell ref="Y509:AB509"/>
    <mergeCell ref="AC509:AF509"/>
    <mergeCell ref="A510:D510"/>
    <mergeCell ref="E510:I510"/>
    <mergeCell ref="J510:N510"/>
    <mergeCell ref="O510:S510"/>
    <mergeCell ref="T510:U510"/>
    <mergeCell ref="V510:X510"/>
    <mergeCell ref="Y510:AB510"/>
    <mergeCell ref="E518:U518"/>
    <mergeCell ref="E519:U519"/>
    <mergeCell ref="A521:D521"/>
    <mergeCell ref="E521:I521"/>
    <mergeCell ref="J521:N521"/>
    <mergeCell ref="O521:S521"/>
    <mergeCell ref="T521:U521"/>
    <mergeCell ref="V514:X514"/>
    <mergeCell ref="Y514:AB514"/>
    <mergeCell ref="AC514:AF514"/>
    <mergeCell ref="E515:U515"/>
    <mergeCell ref="E516:U516"/>
    <mergeCell ref="E517:U517"/>
    <mergeCell ref="Y512:AB512"/>
    <mergeCell ref="AC512:AF512"/>
    <mergeCell ref="A513:D513"/>
    <mergeCell ref="E513:I513"/>
    <mergeCell ref="J513:N513"/>
    <mergeCell ref="O513:S513"/>
    <mergeCell ref="T513:U513"/>
    <mergeCell ref="V513:X513"/>
    <mergeCell ref="Y513:AB513"/>
    <mergeCell ref="AC513:AF513"/>
    <mergeCell ref="A512:D512"/>
    <mergeCell ref="E512:I512"/>
    <mergeCell ref="J512:N512"/>
    <mergeCell ref="O512:S512"/>
    <mergeCell ref="T512:U512"/>
    <mergeCell ref="V512:X512"/>
    <mergeCell ref="AC522:AF522"/>
    <mergeCell ref="A523:D523"/>
    <mergeCell ref="E523:I523"/>
    <mergeCell ref="J523:N523"/>
    <mergeCell ref="O523:S523"/>
    <mergeCell ref="T523:U523"/>
    <mergeCell ref="V523:X523"/>
    <mergeCell ref="Y523:AB523"/>
    <mergeCell ref="AC523:AF523"/>
    <mergeCell ref="V521:X521"/>
    <mergeCell ref="Y521:AB521"/>
    <mergeCell ref="AC521:AF521"/>
    <mergeCell ref="A522:D522"/>
    <mergeCell ref="E522:I522"/>
    <mergeCell ref="J522:N522"/>
    <mergeCell ref="O522:S522"/>
    <mergeCell ref="T522:U522"/>
    <mergeCell ref="V522:X522"/>
    <mergeCell ref="Y522:AB522"/>
    <mergeCell ref="V530:X530"/>
    <mergeCell ref="Y530:AB530"/>
    <mergeCell ref="AC530:AF530"/>
    <mergeCell ref="A531:D531"/>
    <mergeCell ref="E531:I531"/>
    <mergeCell ref="J531:N531"/>
    <mergeCell ref="O531:S531"/>
    <mergeCell ref="T531:U531"/>
    <mergeCell ref="V531:X531"/>
    <mergeCell ref="Y531:AB531"/>
    <mergeCell ref="Y524:AB524"/>
    <mergeCell ref="AC524:AF524"/>
    <mergeCell ref="E526:U526"/>
    <mergeCell ref="E527:U527"/>
    <mergeCell ref="E528:U528"/>
    <mergeCell ref="A530:D530"/>
    <mergeCell ref="E530:I530"/>
    <mergeCell ref="J530:N530"/>
    <mergeCell ref="O530:S530"/>
    <mergeCell ref="T530:U530"/>
    <mergeCell ref="A524:D524"/>
    <mergeCell ref="E524:I524"/>
    <mergeCell ref="J524:N524"/>
    <mergeCell ref="O524:S524"/>
    <mergeCell ref="T524:U524"/>
    <mergeCell ref="V524:X524"/>
    <mergeCell ref="Y533:AB533"/>
    <mergeCell ref="AC533:AF533"/>
    <mergeCell ref="E536:U536"/>
    <mergeCell ref="E537:U537"/>
    <mergeCell ref="A538:C538"/>
    <mergeCell ref="D538:I538"/>
    <mergeCell ref="J538:N538"/>
    <mergeCell ref="O538:S538"/>
    <mergeCell ref="T538:U538"/>
    <mergeCell ref="V538:X538"/>
    <mergeCell ref="A533:D533"/>
    <mergeCell ref="E533:I533"/>
    <mergeCell ref="J533:N533"/>
    <mergeCell ref="O533:S533"/>
    <mergeCell ref="T533:U533"/>
    <mergeCell ref="V533:X533"/>
    <mergeCell ref="AC531:AF531"/>
    <mergeCell ref="A532:D532"/>
    <mergeCell ref="E532:I532"/>
    <mergeCell ref="J532:N532"/>
    <mergeCell ref="O532:S532"/>
    <mergeCell ref="T532:U532"/>
    <mergeCell ref="V532:X532"/>
    <mergeCell ref="Y532:AB532"/>
    <mergeCell ref="AC532:AF532"/>
    <mergeCell ref="Y540:AB540"/>
    <mergeCell ref="AC540:AF540"/>
    <mergeCell ref="A541:C541"/>
    <mergeCell ref="D541:I541"/>
    <mergeCell ref="J541:N541"/>
    <mergeCell ref="O541:S541"/>
    <mergeCell ref="T541:U541"/>
    <mergeCell ref="V541:X541"/>
    <mergeCell ref="Y541:AB541"/>
    <mergeCell ref="AC541:AF541"/>
    <mergeCell ref="A540:C540"/>
    <mergeCell ref="D540:I540"/>
    <mergeCell ref="J540:N540"/>
    <mergeCell ref="O540:S540"/>
    <mergeCell ref="T540:U540"/>
    <mergeCell ref="V540:X540"/>
    <mergeCell ref="Y538:AB538"/>
    <mergeCell ref="AC538:AF538"/>
    <mergeCell ref="A539:C539"/>
    <mergeCell ref="D539:I539"/>
    <mergeCell ref="J539:N539"/>
    <mergeCell ref="O539:S539"/>
    <mergeCell ref="T539:U539"/>
    <mergeCell ref="V539:X539"/>
    <mergeCell ref="Y539:AB539"/>
    <mergeCell ref="AC539:AF539"/>
    <mergeCell ref="D545:U545"/>
    <mergeCell ref="V545:AK545"/>
    <mergeCell ref="E549:U549"/>
    <mergeCell ref="B550:U550"/>
    <mergeCell ref="A551:D551"/>
    <mergeCell ref="E551:I551"/>
    <mergeCell ref="J551:N551"/>
    <mergeCell ref="O551:S551"/>
    <mergeCell ref="T551:U551"/>
    <mergeCell ref="V551:X551"/>
    <mergeCell ref="Y542:AB542"/>
    <mergeCell ref="AC542:AF542"/>
    <mergeCell ref="A543:C543"/>
    <mergeCell ref="D543:I543"/>
    <mergeCell ref="J543:N543"/>
    <mergeCell ref="O543:S543"/>
    <mergeCell ref="T543:U543"/>
    <mergeCell ref="V543:X543"/>
    <mergeCell ref="Y543:AB543"/>
    <mergeCell ref="AC543:AF543"/>
    <mergeCell ref="A542:C542"/>
    <mergeCell ref="D542:I542"/>
    <mergeCell ref="J542:N542"/>
    <mergeCell ref="O542:S542"/>
    <mergeCell ref="T542:U542"/>
    <mergeCell ref="V542:X542"/>
    <mergeCell ref="Y553:AB553"/>
    <mergeCell ref="AC553:AF553"/>
    <mergeCell ref="A554:D554"/>
    <mergeCell ref="E554:I554"/>
    <mergeCell ref="J554:N554"/>
    <mergeCell ref="O554:S554"/>
    <mergeCell ref="T554:U554"/>
    <mergeCell ref="V554:X554"/>
    <mergeCell ref="Y554:AB554"/>
    <mergeCell ref="AC554:AF554"/>
    <mergeCell ref="A553:D553"/>
    <mergeCell ref="E553:I553"/>
    <mergeCell ref="J553:N553"/>
    <mergeCell ref="O553:S553"/>
    <mergeCell ref="T553:U553"/>
    <mergeCell ref="V553:X553"/>
    <mergeCell ref="Y551:AB551"/>
    <mergeCell ref="AC551:AF551"/>
    <mergeCell ref="A552:D552"/>
    <mergeCell ref="E552:I552"/>
    <mergeCell ref="J552:N552"/>
    <mergeCell ref="O552:S552"/>
    <mergeCell ref="T552:U552"/>
    <mergeCell ref="V552:X552"/>
    <mergeCell ref="Y552:AB552"/>
    <mergeCell ref="AC552:AF552"/>
    <mergeCell ref="E559:U559"/>
    <mergeCell ref="B560:U560"/>
    <mergeCell ref="A561:D561"/>
    <mergeCell ref="E561:I561"/>
    <mergeCell ref="J561:N561"/>
    <mergeCell ref="O561:S561"/>
    <mergeCell ref="T561:U561"/>
    <mergeCell ref="Y555:AB555"/>
    <mergeCell ref="AC555:AF555"/>
    <mergeCell ref="E556:U556"/>
    <mergeCell ref="V557:X557"/>
    <mergeCell ref="Y557:AB557"/>
    <mergeCell ref="AC557:AF557"/>
    <mergeCell ref="A555:D555"/>
    <mergeCell ref="E555:I555"/>
    <mergeCell ref="J555:N555"/>
    <mergeCell ref="O555:S555"/>
    <mergeCell ref="T555:U555"/>
    <mergeCell ref="V555:X555"/>
    <mergeCell ref="AC562:AF562"/>
    <mergeCell ref="A563:D563"/>
    <mergeCell ref="E563:I563"/>
    <mergeCell ref="J563:N563"/>
    <mergeCell ref="O563:S563"/>
    <mergeCell ref="T563:U563"/>
    <mergeCell ref="V563:X563"/>
    <mergeCell ref="Y563:AB563"/>
    <mergeCell ref="AC563:AF563"/>
    <mergeCell ref="V561:X561"/>
    <mergeCell ref="Y561:AB561"/>
    <mergeCell ref="AC561:AF561"/>
    <mergeCell ref="A562:D562"/>
    <mergeCell ref="E562:I562"/>
    <mergeCell ref="J562:N562"/>
    <mergeCell ref="O562:S562"/>
    <mergeCell ref="T562:U562"/>
    <mergeCell ref="V562:X562"/>
    <mergeCell ref="Y562:AB562"/>
    <mergeCell ref="B573:H573"/>
    <mergeCell ref="I573:M573"/>
    <mergeCell ref="N573:S573"/>
    <mergeCell ref="T573:U573"/>
    <mergeCell ref="B574:H574"/>
    <mergeCell ref="I574:M574"/>
    <mergeCell ref="N574:S574"/>
    <mergeCell ref="T574:U574"/>
    <mergeCell ref="C567:U567"/>
    <mergeCell ref="C568:U568"/>
    <mergeCell ref="B572:H572"/>
    <mergeCell ref="I572:M572"/>
    <mergeCell ref="N572:S572"/>
    <mergeCell ref="T572:U572"/>
    <mergeCell ref="Y564:AB564"/>
    <mergeCell ref="AC564:AF564"/>
    <mergeCell ref="A565:D565"/>
    <mergeCell ref="E565:I565"/>
    <mergeCell ref="J565:N565"/>
    <mergeCell ref="O565:S565"/>
    <mergeCell ref="T565:U565"/>
    <mergeCell ref="V565:X565"/>
    <mergeCell ref="Y565:AB565"/>
    <mergeCell ref="AC565:AF565"/>
    <mergeCell ref="A564:D564"/>
    <mergeCell ref="E564:I564"/>
    <mergeCell ref="J564:N564"/>
    <mergeCell ref="O564:S564"/>
    <mergeCell ref="T564:U564"/>
    <mergeCell ref="V564:X564"/>
    <mergeCell ref="C584:D584"/>
    <mergeCell ref="E584:K584"/>
    <mergeCell ref="O584:T584"/>
    <mergeCell ref="C585:D585"/>
    <mergeCell ref="E585:K585"/>
    <mergeCell ref="O585:T585"/>
    <mergeCell ref="I577:M577"/>
    <mergeCell ref="C578:U578"/>
    <mergeCell ref="A579:A581"/>
    <mergeCell ref="C579:U579"/>
    <mergeCell ref="C582:U582"/>
    <mergeCell ref="C583:D583"/>
    <mergeCell ref="E583:K583"/>
    <mergeCell ref="O583:T583"/>
    <mergeCell ref="B575:H575"/>
    <mergeCell ref="I575:M575"/>
    <mergeCell ref="N575:S575"/>
    <mergeCell ref="T575:U575"/>
    <mergeCell ref="B576:H576"/>
    <mergeCell ref="I576:M576"/>
    <mergeCell ref="N576:S576"/>
    <mergeCell ref="T576:U576"/>
    <mergeCell ref="D592:U592"/>
    <mergeCell ref="C594:I594"/>
    <mergeCell ref="J594:N594"/>
    <mergeCell ref="O594:S594"/>
    <mergeCell ref="T594:U594"/>
    <mergeCell ref="C595:I595"/>
    <mergeCell ref="J595:N595"/>
    <mergeCell ref="O595:S595"/>
    <mergeCell ref="T595:U595"/>
    <mergeCell ref="C588:D588"/>
    <mergeCell ref="E588:K588"/>
    <mergeCell ref="O588:T588"/>
    <mergeCell ref="C589:K589"/>
    <mergeCell ref="O589:T589"/>
    <mergeCell ref="D591:T591"/>
    <mergeCell ref="C586:D586"/>
    <mergeCell ref="E586:K586"/>
    <mergeCell ref="O586:T586"/>
    <mergeCell ref="C587:D587"/>
    <mergeCell ref="E587:K587"/>
    <mergeCell ref="O587:T587"/>
    <mergeCell ref="C598:I598"/>
    <mergeCell ref="J598:N598"/>
    <mergeCell ref="O598:S598"/>
    <mergeCell ref="T598:U598"/>
    <mergeCell ref="B599:I599"/>
    <mergeCell ref="J599:N599"/>
    <mergeCell ref="O599:S599"/>
    <mergeCell ref="T599:U599"/>
    <mergeCell ref="A596:A597"/>
    <mergeCell ref="C596:I596"/>
    <mergeCell ref="J596:N596"/>
    <mergeCell ref="O596:S596"/>
    <mergeCell ref="T596:U596"/>
    <mergeCell ref="C597:I597"/>
    <mergeCell ref="J597:N597"/>
    <mergeCell ref="O597:S597"/>
    <mergeCell ref="T597:U597"/>
    <mergeCell ref="B613:I613"/>
    <mergeCell ref="J613:N613"/>
    <mergeCell ref="O613:S613"/>
    <mergeCell ref="T613:U613"/>
    <mergeCell ref="D615:U615"/>
    <mergeCell ref="D616:U616"/>
    <mergeCell ref="B611:I611"/>
    <mergeCell ref="J611:N611"/>
    <mergeCell ref="O611:S611"/>
    <mergeCell ref="T611:U611"/>
    <mergeCell ref="B612:I612"/>
    <mergeCell ref="J612:N612"/>
    <mergeCell ref="O612:S612"/>
    <mergeCell ref="T612:U612"/>
    <mergeCell ref="D605:U605"/>
    <mergeCell ref="D606:U606"/>
    <mergeCell ref="D607:U607"/>
    <mergeCell ref="B609:U609"/>
    <mergeCell ref="B610:I610"/>
    <mergeCell ref="J610:N610"/>
    <mergeCell ref="O610:S610"/>
    <mergeCell ref="T610:U610"/>
    <mergeCell ref="D625:U625"/>
    <mergeCell ref="D626:U626"/>
    <mergeCell ref="D627:U627"/>
    <mergeCell ref="B631:U631"/>
    <mergeCell ref="B632:I632"/>
    <mergeCell ref="J632:N632"/>
    <mergeCell ref="O632:S632"/>
    <mergeCell ref="T632:U632"/>
    <mergeCell ref="B622:K622"/>
    <mergeCell ref="L622:P622"/>
    <mergeCell ref="Q622:U622"/>
    <mergeCell ref="B623:K623"/>
    <mergeCell ref="L623:P623"/>
    <mergeCell ref="Q623:U623"/>
    <mergeCell ref="D617:U617"/>
    <mergeCell ref="B619:U619"/>
    <mergeCell ref="B620:K620"/>
    <mergeCell ref="L620:P620"/>
    <mergeCell ref="Q620:U620"/>
    <mergeCell ref="B621:K621"/>
    <mergeCell ref="L621:P621"/>
    <mergeCell ref="Q621:U621"/>
    <mergeCell ref="C640:U640"/>
    <mergeCell ref="C641:U641"/>
    <mergeCell ref="B643:U643"/>
    <mergeCell ref="B644:I644"/>
    <mergeCell ref="J644:N644"/>
    <mergeCell ref="O644:S644"/>
    <mergeCell ref="T644:U644"/>
    <mergeCell ref="B635:I635"/>
    <mergeCell ref="J635:N635"/>
    <mergeCell ref="O635:S635"/>
    <mergeCell ref="T635:U635"/>
    <mergeCell ref="C637:U637"/>
    <mergeCell ref="C639:U639"/>
    <mergeCell ref="A633:A634"/>
    <mergeCell ref="B633:I633"/>
    <mergeCell ref="J633:N633"/>
    <mergeCell ref="O633:S633"/>
    <mergeCell ref="T633:U633"/>
    <mergeCell ref="B634:I634"/>
    <mergeCell ref="J634:N634"/>
    <mergeCell ref="O634:S634"/>
    <mergeCell ref="T634:U634"/>
    <mergeCell ref="B649:I649"/>
    <mergeCell ref="J649:N649"/>
    <mergeCell ref="O649:S649"/>
    <mergeCell ref="T649:U649"/>
    <mergeCell ref="B650:I650"/>
    <mergeCell ref="J650:N650"/>
    <mergeCell ref="O650:S650"/>
    <mergeCell ref="T650:U650"/>
    <mergeCell ref="B647:I647"/>
    <mergeCell ref="J647:N647"/>
    <mergeCell ref="O647:S647"/>
    <mergeCell ref="T647:U647"/>
    <mergeCell ref="B648:I648"/>
    <mergeCell ref="J648:N648"/>
    <mergeCell ref="O648:S648"/>
    <mergeCell ref="T648:U648"/>
    <mergeCell ref="B645:I645"/>
    <mergeCell ref="J645:N645"/>
    <mergeCell ref="O645:S645"/>
    <mergeCell ref="T645:U645"/>
    <mergeCell ref="B646:I646"/>
    <mergeCell ref="J646:N646"/>
    <mergeCell ref="O646:S646"/>
    <mergeCell ref="T646:U646"/>
    <mergeCell ref="N656:Q656"/>
    <mergeCell ref="R656:U656"/>
    <mergeCell ref="C657:E657"/>
    <mergeCell ref="F657:I657"/>
    <mergeCell ref="J657:M657"/>
    <mergeCell ref="N657:Q657"/>
    <mergeCell ref="R657:U657"/>
    <mergeCell ref="C652:U652"/>
    <mergeCell ref="D653:U653"/>
    <mergeCell ref="D654:U654"/>
    <mergeCell ref="B655:B656"/>
    <mergeCell ref="C655:E656"/>
    <mergeCell ref="F655:I655"/>
    <mergeCell ref="J655:Q655"/>
    <mergeCell ref="R655:U655"/>
    <mergeCell ref="F656:I656"/>
    <mergeCell ref="J656:M656"/>
    <mergeCell ref="C660:E660"/>
    <mergeCell ref="F660:I660"/>
    <mergeCell ref="J660:M660"/>
    <mergeCell ref="N660:Q660"/>
    <mergeCell ref="R660:U660"/>
    <mergeCell ref="C661:E661"/>
    <mergeCell ref="F661:I661"/>
    <mergeCell ref="J661:M661"/>
    <mergeCell ref="N661:Q661"/>
    <mergeCell ref="R661:U661"/>
    <mergeCell ref="C658:E658"/>
    <mergeCell ref="F658:I658"/>
    <mergeCell ref="J658:M658"/>
    <mergeCell ref="N658:Q658"/>
    <mergeCell ref="R658:U658"/>
    <mergeCell ref="C659:E659"/>
    <mergeCell ref="F659:I659"/>
    <mergeCell ref="J659:M659"/>
    <mergeCell ref="N659:Q659"/>
    <mergeCell ref="R659:U659"/>
    <mergeCell ref="D667:U667"/>
    <mergeCell ref="B668:B669"/>
    <mergeCell ref="C668:E669"/>
    <mergeCell ref="F668:I668"/>
    <mergeCell ref="J668:Q668"/>
    <mergeCell ref="R668:U668"/>
    <mergeCell ref="F669:I669"/>
    <mergeCell ref="J669:M669"/>
    <mergeCell ref="N669:Q669"/>
    <mergeCell ref="R669:U669"/>
    <mergeCell ref="B664:E664"/>
    <mergeCell ref="F664:I664"/>
    <mergeCell ref="J664:M664"/>
    <mergeCell ref="N664:Q664"/>
    <mergeCell ref="R664:U664"/>
    <mergeCell ref="D666:U666"/>
    <mergeCell ref="C662:E662"/>
    <mergeCell ref="F662:I662"/>
    <mergeCell ref="J662:M662"/>
    <mergeCell ref="N662:Q662"/>
    <mergeCell ref="R662:U662"/>
    <mergeCell ref="C663:E663"/>
    <mergeCell ref="F663:I663"/>
    <mergeCell ref="J663:M663"/>
    <mergeCell ref="N663:Q663"/>
    <mergeCell ref="R663:U663"/>
    <mergeCell ref="C672:E672"/>
    <mergeCell ref="F672:I672"/>
    <mergeCell ref="J672:M672"/>
    <mergeCell ref="N672:Q672"/>
    <mergeCell ref="R672:U672"/>
    <mergeCell ref="B673:E673"/>
    <mergeCell ref="F673:I673"/>
    <mergeCell ref="J673:M673"/>
    <mergeCell ref="N673:Q673"/>
    <mergeCell ref="R673:U673"/>
    <mergeCell ref="C670:E670"/>
    <mergeCell ref="F670:I670"/>
    <mergeCell ref="J670:M670"/>
    <mergeCell ref="N670:Q670"/>
    <mergeCell ref="R670:U670"/>
    <mergeCell ref="C671:E671"/>
    <mergeCell ref="F671:I671"/>
    <mergeCell ref="J671:M671"/>
    <mergeCell ref="N671:Q671"/>
    <mergeCell ref="R671:U671"/>
    <mergeCell ref="N681:Q681"/>
    <mergeCell ref="R681:U681"/>
    <mergeCell ref="C682:E682"/>
    <mergeCell ref="F682:I682"/>
    <mergeCell ref="J682:M682"/>
    <mergeCell ref="N682:Q682"/>
    <mergeCell ref="R682:U682"/>
    <mergeCell ref="D675:U675"/>
    <mergeCell ref="D677:U677"/>
    <mergeCell ref="D678:U678"/>
    <mergeCell ref="B680:B681"/>
    <mergeCell ref="C680:E681"/>
    <mergeCell ref="F680:I680"/>
    <mergeCell ref="J680:Q680"/>
    <mergeCell ref="R680:U680"/>
    <mergeCell ref="F681:I681"/>
    <mergeCell ref="J681:M681"/>
    <mergeCell ref="D686:U686"/>
    <mergeCell ref="V686:AM686"/>
    <mergeCell ref="E687:U687"/>
    <mergeCell ref="E688:U688"/>
    <mergeCell ref="D690:U690"/>
    <mergeCell ref="W690:X690"/>
    <mergeCell ref="Y690:AH690"/>
    <mergeCell ref="AI690:AN690"/>
    <mergeCell ref="C683:E683"/>
    <mergeCell ref="F683:I683"/>
    <mergeCell ref="J683:M683"/>
    <mergeCell ref="N683:Q683"/>
    <mergeCell ref="R683:U683"/>
    <mergeCell ref="C684:E684"/>
    <mergeCell ref="F684:I684"/>
    <mergeCell ref="J684:M684"/>
    <mergeCell ref="N684:Q684"/>
    <mergeCell ref="R684:U684"/>
    <mergeCell ref="N694:Q694"/>
    <mergeCell ref="R694:U694"/>
    <mergeCell ref="C695:E695"/>
    <mergeCell ref="F695:I695"/>
    <mergeCell ref="J695:M695"/>
    <mergeCell ref="N695:Q695"/>
    <mergeCell ref="R695:U695"/>
    <mergeCell ref="D691:U691"/>
    <mergeCell ref="W691:AH691"/>
    <mergeCell ref="AI691:AN691"/>
    <mergeCell ref="B693:B694"/>
    <mergeCell ref="C693:E694"/>
    <mergeCell ref="F693:I693"/>
    <mergeCell ref="J693:Q693"/>
    <mergeCell ref="R693:U693"/>
    <mergeCell ref="F694:I694"/>
    <mergeCell ref="J694:M694"/>
    <mergeCell ref="C699:U699"/>
    <mergeCell ref="D700:U700"/>
    <mergeCell ref="B702:U702"/>
    <mergeCell ref="B703:I703"/>
    <mergeCell ref="J703:M703"/>
    <mergeCell ref="N703:Q703"/>
    <mergeCell ref="R703:U703"/>
    <mergeCell ref="C696:E696"/>
    <mergeCell ref="F696:I696"/>
    <mergeCell ref="J696:M696"/>
    <mergeCell ref="N696:Q696"/>
    <mergeCell ref="R696:U696"/>
    <mergeCell ref="C697:E697"/>
    <mergeCell ref="F697:I697"/>
    <mergeCell ref="J697:M697"/>
    <mergeCell ref="N697:Q697"/>
    <mergeCell ref="R697:U697"/>
    <mergeCell ref="B708:I708"/>
    <mergeCell ref="J708:M708"/>
    <mergeCell ref="N708:Q708"/>
    <mergeCell ref="R708:U708"/>
    <mergeCell ref="B709:I709"/>
    <mergeCell ref="J709:M709"/>
    <mergeCell ref="N709:Q709"/>
    <mergeCell ref="R709:U709"/>
    <mergeCell ref="B706:I706"/>
    <mergeCell ref="J706:M706"/>
    <mergeCell ref="N706:Q706"/>
    <mergeCell ref="R706:U706"/>
    <mergeCell ref="B707:I707"/>
    <mergeCell ref="J707:M707"/>
    <mergeCell ref="N707:Q707"/>
    <mergeCell ref="R707:U707"/>
    <mergeCell ref="B704:I704"/>
    <mergeCell ref="J704:M704"/>
    <mergeCell ref="N704:Q704"/>
    <mergeCell ref="R704:U704"/>
    <mergeCell ref="B705:I705"/>
    <mergeCell ref="J705:M705"/>
    <mergeCell ref="N705:Q705"/>
    <mergeCell ref="R705:U705"/>
    <mergeCell ref="B714:I714"/>
    <mergeCell ref="J714:M714"/>
    <mergeCell ref="N714:Q714"/>
    <mergeCell ref="R714:U714"/>
    <mergeCell ref="B715:I715"/>
    <mergeCell ref="J715:M715"/>
    <mergeCell ref="N715:Q715"/>
    <mergeCell ref="R715:U715"/>
    <mergeCell ref="B712:I712"/>
    <mergeCell ref="J712:M712"/>
    <mergeCell ref="N712:Q712"/>
    <mergeCell ref="R712:U712"/>
    <mergeCell ref="B713:I713"/>
    <mergeCell ref="J713:M713"/>
    <mergeCell ref="N713:Q713"/>
    <mergeCell ref="R713:U713"/>
    <mergeCell ref="B710:I710"/>
    <mergeCell ref="J710:M710"/>
    <mergeCell ref="N710:Q710"/>
    <mergeCell ref="R710:U710"/>
    <mergeCell ref="B711:I711"/>
    <mergeCell ref="J711:M711"/>
    <mergeCell ref="N711:Q711"/>
    <mergeCell ref="R711:U711"/>
    <mergeCell ref="B720:I720"/>
    <mergeCell ref="J720:M720"/>
    <mergeCell ref="N720:Q720"/>
    <mergeCell ref="R720:U720"/>
    <mergeCell ref="B721:I721"/>
    <mergeCell ref="J721:M721"/>
    <mergeCell ref="N721:Q721"/>
    <mergeCell ref="R721:U721"/>
    <mergeCell ref="B718:I718"/>
    <mergeCell ref="J718:M718"/>
    <mergeCell ref="N718:Q718"/>
    <mergeCell ref="R718:U718"/>
    <mergeCell ref="B719:I719"/>
    <mergeCell ref="J719:M719"/>
    <mergeCell ref="N719:Q719"/>
    <mergeCell ref="R719:U719"/>
    <mergeCell ref="B716:I716"/>
    <mergeCell ref="J716:M716"/>
    <mergeCell ref="N716:Q716"/>
    <mergeCell ref="R716:U716"/>
    <mergeCell ref="B717:I717"/>
    <mergeCell ref="J717:M717"/>
    <mergeCell ref="N717:Q717"/>
    <mergeCell ref="R717:U717"/>
    <mergeCell ref="C730:U730"/>
    <mergeCell ref="D731:U731"/>
    <mergeCell ref="V731:AI731"/>
    <mergeCell ref="D732:U732"/>
    <mergeCell ref="B734:U734"/>
    <mergeCell ref="B735:H735"/>
    <mergeCell ref="I735:M735"/>
    <mergeCell ref="N735:R735"/>
    <mergeCell ref="S735:U735"/>
    <mergeCell ref="V735:X735"/>
    <mergeCell ref="E726:M726"/>
    <mergeCell ref="O726:S726"/>
    <mergeCell ref="E727:M727"/>
    <mergeCell ref="O727:S727"/>
    <mergeCell ref="E728:M728"/>
    <mergeCell ref="O728:S728"/>
    <mergeCell ref="B722:I722"/>
    <mergeCell ref="J722:M722"/>
    <mergeCell ref="N722:Q722"/>
    <mergeCell ref="R722:U722"/>
    <mergeCell ref="D724:U724"/>
    <mergeCell ref="E725:M725"/>
    <mergeCell ref="O725:S725"/>
    <mergeCell ref="AC737:AF737"/>
    <mergeCell ref="B738:H738"/>
    <mergeCell ref="I738:M738"/>
    <mergeCell ref="N738:R738"/>
    <mergeCell ref="S738:U738"/>
    <mergeCell ref="V738:X738"/>
    <mergeCell ref="Y738:AB738"/>
    <mergeCell ref="AC738:AF738"/>
    <mergeCell ref="B737:H737"/>
    <mergeCell ref="I737:M737"/>
    <mergeCell ref="N737:R737"/>
    <mergeCell ref="S737:U737"/>
    <mergeCell ref="V737:X737"/>
    <mergeCell ref="Y737:AB737"/>
    <mergeCell ref="Y735:AB735"/>
    <mergeCell ref="AC735:AF735"/>
    <mergeCell ref="B736:H736"/>
    <mergeCell ref="I736:M736"/>
    <mergeCell ref="N736:R736"/>
    <mergeCell ref="S736:U736"/>
    <mergeCell ref="V736:X736"/>
    <mergeCell ref="Y736:AB736"/>
    <mergeCell ref="AC736:AF736"/>
    <mergeCell ref="I741:M741"/>
    <mergeCell ref="N741:R741"/>
    <mergeCell ref="S741:U741"/>
    <mergeCell ref="V741:X741"/>
    <mergeCell ref="Y741:AB741"/>
    <mergeCell ref="AC741:AF741"/>
    <mergeCell ref="AC739:AF739"/>
    <mergeCell ref="B740:H740"/>
    <mergeCell ref="I740:M740"/>
    <mergeCell ref="N740:R740"/>
    <mergeCell ref="S740:U740"/>
    <mergeCell ref="V740:X740"/>
    <mergeCell ref="Y740:AB740"/>
    <mergeCell ref="AC740:AF740"/>
    <mergeCell ref="B739:H739"/>
    <mergeCell ref="I739:M739"/>
    <mergeCell ref="N739:R739"/>
    <mergeCell ref="S739:U739"/>
    <mergeCell ref="V739:X739"/>
    <mergeCell ref="Y739:AB739"/>
    <mergeCell ref="V748:X748"/>
    <mergeCell ref="Y748:AB748"/>
    <mergeCell ref="AC748:AF748"/>
    <mergeCell ref="B749:H749"/>
    <mergeCell ref="I749:M749"/>
    <mergeCell ref="N749:R749"/>
    <mergeCell ref="S749:U749"/>
    <mergeCell ref="V749:X749"/>
    <mergeCell ref="Y749:AB749"/>
    <mergeCell ref="AC749:AF749"/>
    <mergeCell ref="C743:U743"/>
    <mergeCell ref="C744:U744"/>
    <mergeCell ref="C745:U745"/>
    <mergeCell ref="B747:U747"/>
    <mergeCell ref="B748:H748"/>
    <mergeCell ref="I748:M748"/>
    <mergeCell ref="N748:R748"/>
    <mergeCell ref="S748:U748"/>
    <mergeCell ref="AC752:AF752"/>
    <mergeCell ref="C754:U754"/>
    <mergeCell ref="C755:U755"/>
    <mergeCell ref="C756:U756"/>
    <mergeCell ref="D757:U757"/>
    <mergeCell ref="B759:B760"/>
    <mergeCell ref="C759:E760"/>
    <mergeCell ref="F759:I759"/>
    <mergeCell ref="J759:Q759"/>
    <mergeCell ref="R759:U759"/>
    <mergeCell ref="B752:H752"/>
    <mergeCell ref="I752:M752"/>
    <mergeCell ref="N752:R752"/>
    <mergeCell ref="S752:U752"/>
    <mergeCell ref="V752:X752"/>
    <mergeCell ref="Y752:AB752"/>
    <mergeCell ref="AC750:AF750"/>
    <mergeCell ref="B751:H751"/>
    <mergeCell ref="I751:M751"/>
    <mergeCell ref="N751:R751"/>
    <mergeCell ref="S751:U751"/>
    <mergeCell ref="V751:X751"/>
    <mergeCell ref="Y751:AB751"/>
    <mergeCell ref="AC751:AF751"/>
    <mergeCell ref="B750:H750"/>
    <mergeCell ref="I750:M750"/>
    <mergeCell ref="N750:R750"/>
    <mergeCell ref="S750:U750"/>
    <mergeCell ref="V750:X750"/>
    <mergeCell ref="Y750:AB750"/>
    <mergeCell ref="C762:E762"/>
    <mergeCell ref="F762:I762"/>
    <mergeCell ref="J762:M762"/>
    <mergeCell ref="N762:Q762"/>
    <mergeCell ref="R762:U762"/>
    <mergeCell ref="C763:E763"/>
    <mergeCell ref="F763:I763"/>
    <mergeCell ref="J763:M763"/>
    <mergeCell ref="N763:Q763"/>
    <mergeCell ref="R763:U763"/>
    <mergeCell ref="F760:I760"/>
    <mergeCell ref="J760:M760"/>
    <mergeCell ref="N760:Q760"/>
    <mergeCell ref="R760:U760"/>
    <mergeCell ref="C761:E761"/>
    <mergeCell ref="F761:I761"/>
    <mergeCell ref="J761:M761"/>
    <mergeCell ref="N761:Q761"/>
    <mergeCell ref="R761:U761"/>
    <mergeCell ref="C766:E766"/>
    <mergeCell ref="F766:I766"/>
    <mergeCell ref="J766:M766"/>
    <mergeCell ref="N766:Q766"/>
    <mergeCell ref="R766:U766"/>
    <mergeCell ref="C767:E767"/>
    <mergeCell ref="F767:I767"/>
    <mergeCell ref="J767:M767"/>
    <mergeCell ref="N767:Q767"/>
    <mergeCell ref="R767:U767"/>
    <mergeCell ref="C764:E764"/>
    <mergeCell ref="F764:I764"/>
    <mergeCell ref="J764:M764"/>
    <mergeCell ref="N764:Q764"/>
    <mergeCell ref="R764:U764"/>
    <mergeCell ref="C765:E765"/>
    <mergeCell ref="F765:I765"/>
    <mergeCell ref="J765:M765"/>
    <mergeCell ref="N765:Q765"/>
    <mergeCell ref="R765:U765"/>
    <mergeCell ref="R773:U773"/>
    <mergeCell ref="V773:X773"/>
    <mergeCell ref="Y773:AB773"/>
    <mergeCell ref="AC773:AF773"/>
    <mergeCell ref="C774:E774"/>
    <mergeCell ref="F774:I774"/>
    <mergeCell ref="J774:M774"/>
    <mergeCell ref="N774:Q774"/>
    <mergeCell ref="R774:U774"/>
    <mergeCell ref="V774:X774"/>
    <mergeCell ref="C769:U769"/>
    <mergeCell ref="D770:U770"/>
    <mergeCell ref="B772:B773"/>
    <mergeCell ref="C772:E773"/>
    <mergeCell ref="F772:I772"/>
    <mergeCell ref="J772:Q772"/>
    <mergeCell ref="R772:U772"/>
    <mergeCell ref="F773:I773"/>
    <mergeCell ref="J773:M773"/>
    <mergeCell ref="N773:Q773"/>
    <mergeCell ref="Y776:AB776"/>
    <mergeCell ref="AC776:AF776"/>
    <mergeCell ref="C777:E777"/>
    <mergeCell ref="F777:I777"/>
    <mergeCell ref="J777:M777"/>
    <mergeCell ref="N777:Q777"/>
    <mergeCell ref="R777:U777"/>
    <mergeCell ref="V777:X777"/>
    <mergeCell ref="Y777:AB777"/>
    <mergeCell ref="AC777:AF777"/>
    <mergeCell ref="C776:E776"/>
    <mergeCell ref="F776:I776"/>
    <mergeCell ref="J776:M776"/>
    <mergeCell ref="N776:Q776"/>
    <mergeCell ref="R776:U776"/>
    <mergeCell ref="V776:X776"/>
    <mergeCell ref="Y774:AB774"/>
    <mergeCell ref="AC774:AF774"/>
    <mergeCell ref="C775:E775"/>
    <mergeCell ref="F775:I775"/>
    <mergeCell ref="J775:M775"/>
    <mergeCell ref="N775:Q775"/>
    <mergeCell ref="R775:U775"/>
    <mergeCell ref="V775:X775"/>
    <mergeCell ref="Y775:AB775"/>
    <mergeCell ref="AC775:AF775"/>
    <mergeCell ref="J784:M784"/>
    <mergeCell ref="N784:Q784"/>
    <mergeCell ref="R784:U784"/>
    <mergeCell ref="C785:E785"/>
    <mergeCell ref="F785:I785"/>
    <mergeCell ref="J785:M785"/>
    <mergeCell ref="N785:Q785"/>
    <mergeCell ref="R785:U785"/>
    <mergeCell ref="Y778:AB778"/>
    <mergeCell ref="AC778:AF778"/>
    <mergeCell ref="C780:U780"/>
    <mergeCell ref="D781:U781"/>
    <mergeCell ref="B783:B784"/>
    <mergeCell ref="C783:E784"/>
    <mergeCell ref="F783:I783"/>
    <mergeCell ref="J783:Q783"/>
    <mergeCell ref="R783:U783"/>
    <mergeCell ref="F784:I784"/>
    <mergeCell ref="C778:E778"/>
    <mergeCell ref="F778:I778"/>
    <mergeCell ref="J778:M778"/>
    <mergeCell ref="N778:Q778"/>
    <mergeCell ref="R778:U778"/>
    <mergeCell ref="V778:X778"/>
    <mergeCell ref="V795:X795"/>
    <mergeCell ref="Y795:AB795"/>
    <mergeCell ref="AC795:AF795"/>
    <mergeCell ref="A796:H796"/>
    <mergeCell ref="I796:M796"/>
    <mergeCell ref="N796:R796"/>
    <mergeCell ref="S796:U796"/>
    <mergeCell ref="V796:X796"/>
    <mergeCell ref="Y796:AB796"/>
    <mergeCell ref="AC796:AF796"/>
    <mergeCell ref="C792:U792"/>
    <mergeCell ref="B794:U794"/>
    <mergeCell ref="A795:H795"/>
    <mergeCell ref="I795:M795"/>
    <mergeCell ref="N795:R795"/>
    <mergeCell ref="S795:U795"/>
    <mergeCell ref="C786:E786"/>
    <mergeCell ref="F786:I786"/>
    <mergeCell ref="J786:M786"/>
    <mergeCell ref="N786:Q786"/>
    <mergeCell ref="R786:U786"/>
    <mergeCell ref="C787:E787"/>
    <mergeCell ref="F787:I787"/>
    <mergeCell ref="J787:M787"/>
    <mergeCell ref="N787:Q787"/>
    <mergeCell ref="R787:U787"/>
    <mergeCell ref="AC799:AF799"/>
    <mergeCell ref="A800:H800"/>
    <mergeCell ref="I800:M800"/>
    <mergeCell ref="N800:R800"/>
    <mergeCell ref="S800:U800"/>
    <mergeCell ref="V800:X800"/>
    <mergeCell ref="Y800:AB800"/>
    <mergeCell ref="AC800:AF800"/>
    <mergeCell ref="A799:H799"/>
    <mergeCell ref="I799:M799"/>
    <mergeCell ref="N799:R799"/>
    <mergeCell ref="S799:U799"/>
    <mergeCell ref="V799:X799"/>
    <mergeCell ref="Y799:AB799"/>
    <mergeCell ref="AC797:AF797"/>
    <mergeCell ref="A798:H798"/>
    <mergeCell ref="I798:M798"/>
    <mergeCell ref="N798:R798"/>
    <mergeCell ref="S798:U798"/>
    <mergeCell ref="V798:X798"/>
    <mergeCell ref="Y798:AB798"/>
    <mergeCell ref="AC798:AF798"/>
    <mergeCell ref="A797:H797"/>
    <mergeCell ref="I797:M797"/>
    <mergeCell ref="N797:R797"/>
    <mergeCell ref="S797:U797"/>
    <mergeCell ref="V797:X797"/>
    <mergeCell ref="Y797:AB797"/>
    <mergeCell ref="B804:U804"/>
    <mergeCell ref="C806:U806"/>
    <mergeCell ref="C807:U807"/>
    <mergeCell ref="C808:U808"/>
    <mergeCell ref="A810:A811"/>
    <mergeCell ref="B810:E810"/>
    <mergeCell ref="F810:K810"/>
    <mergeCell ref="L810:Q810"/>
    <mergeCell ref="R810:U810"/>
    <mergeCell ref="B811:E811"/>
    <mergeCell ref="AC801:AF801"/>
    <mergeCell ref="A802:H802"/>
    <mergeCell ref="I802:M802"/>
    <mergeCell ref="N802:R802"/>
    <mergeCell ref="S802:U802"/>
    <mergeCell ref="V802:X802"/>
    <mergeCell ref="Y802:AB802"/>
    <mergeCell ref="AC802:AF802"/>
    <mergeCell ref="A801:H801"/>
    <mergeCell ref="I801:M801"/>
    <mergeCell ref="N801:R801"/>
    <mergeCell ref="S801:U801"/>
    <mergeCell ref="V801:X801"/>
    <mergeCell ref="Y801:AB801"/>
    <mergeCell ref="C814:T814"/>
    <mergeCell ref="C815:U815"/>
    <mergeCell ref="C816:U816"/>
    <mergeCell ref="C817:U817"/>
    <mergeCell ref="C818:U818"/>
    <mergeCell ref="C819:U819"/>
    <mergeCell ref="AC812:AF812"/>
    <mergeCell ref="B813:E813"/>
    <mergeCell ref="F813:H813"/>
    <mergeCell ref="I813:K813"/>
    <mergeCell ref="L813:N813"/>
    <mergeCell ref="O813:Q813"/>
    <mergeCell ref="R813:U813"/>
    <mergeCell ref="V813:X813"/>
    <mergeCell ref="Y813:AB813"/>
    <mergeCell ref="AC813:AF813"/>
    <mergeCell ref="Y811:AB811"/>
    <mergeCell ref="AC811:AF811"/>
    <mergeCell ref="B812:E812"/>
    <mergeCell ref="F812:H812"/>
    <mergeCell ref="I812:K812"/>
    <mergeCell ref="L812:N812"/>
    <mergeCell ref="O812:Q812"/>
    <mergeCell ref="R812:U812"/>
    <mergeCell ref="V812:X812"/>
    <mergeCell ref="Y812:AB812"/>
    <mergeCell ref="F811:H811"/>
    <mergeCell ref="I811:K811"/>
    <mergeCell ref="L811:N811"/>
    <mergeCell ref="O811:Q811"/>
    <mergeCell ref="R811:U811"/>
    <mergeCell ref="V811:X811"/>
    <mergeCell ref="C828:O828"/>
    <mergeCell ref="P828:U828"/>
    <mergeCell ref="C829:O829"/>
    <mergeCell ref="P829:U829"/>
    <mergeCell ref="C830:O830"/>
    <mergeCell ref="P830:U830"/>
    <mergeCell ref="C825:O825"/>
    <mergeCell ref="P825:U825"/>
    <mergeCell ref="C826:O826"/>
    <mergeCell ref="P826:U826"/>
    <mergeCell ref="C827:O827"/>
    <mergeCell ref="P827:U827"/>
    <mergeCell ref="C820:U820"/>
    <mergeCell ref="C821:U821"/>
    <mergeCell ref="C822:U822"/>
    <mergeCell ref="C823:O823"/>
    <mergeCell ref="P823:U823"/>
    <mergeCell ref="C824:O824"/>
    <mergeCell ref="P824:U824"/>
    <mergeCell ref="B837:O837"/>
    <mergeCell ref="P837:U837"/>
    <mergeCell ref="C840:U840"/>
    <mergeCell ref="C841:U841"/>
    <mergeCell ref="C842:U842"/>
    <mergeCell ref="A844:A845"/>
    <mergeCell ref="B844:E844"/>
    <mergeCell ref="F844:K844"/>
    <mergeCell ref="L844:Q844"/>
    <mergeCell ref="R844:U844"/>
    <mergeCell ref="C834:O834"/>
    <mergeCell ref="P834:U834"/>
    <mergeCell ref="C835:O835"/>
    <mergeCell ref="P835:U835"/>
    <mergeCell ref="C836:O836"/>
    <mergeCell ref="P836:U836"/>
    <mergeCell ref="C831:O831"/>
    <mergeCell ref="P831:U831"/>
    <mergeCell ref="C832:O832"/>
    <mergeCell ref="P832:U832"/>
    <mergeCell ref="C833:O833"/>
    <mergeCell ref="P833:U833"/>
    <mergeCell ref="B848:U848"/>
    <mergeCell ref="C849:U849"/>
    <mergeCell ref="C850:U850"/>
    <mergeCell ref="C851:U851"/>
    <mergeCell ref="A852:A853"/>
    <mergeCell ref="B852:E852"/>
    <mergeCell ref="F852:K852"/>
    <mergeCell ref="L852:Q852"/>
    <mergeCell ref="R852:U852"/>
    <mergeCell ref="B853:E853"/>
    <mergeCell ref="Y846:AB846"/>
    <mergeCell ref="AC846:AF846"/>
    <mergeCell ref="B847:U847"/>
    <mergeCell ref="V847:X847"/>
    <mergeCell ref="Y847:AB847"/>
    <mergeCell ref="AC847:AF847"/>
    <mergeCell ref="V845:X845"/>
    <mergeCell ref="Y845:AB845"/>
    <mergeCell ref="AC845:AF845"/>
    <mergeCell ref="B846:E846"/>
    <mergeCell ref="F846:H846"/>
    <mergeCell ref="I846:K846"/>
    <mergeCell ref="L846:N846"/>
    <mergeCell ref="O846:Q846"/>
    <mergeCell ref="R846:U846"/>
    <mergeCell ref="V846:X846"/>
    <mergeCell ref="B845:E845"/>
    <mergeCell ref="F845:H845"/>
    <mergeCell ref="I845:K845"/>
    <mergeCell ref="L845:N845"/>
    <mergeCell ref="O845:Q845"/>
    <mergeCell ref="R845:U845"/>
    <mergeCell ref="R854:U854"/>
    <mergeCell ref="C856:U856"/>
    <mergeCell ref="C857:U857"/>
    <mergeCell ref="C858:U858"/>
    <mergeCell ref="A860:A861"/>
    <mergeCell ref="B860:E860"/>
    <mergeCell ref="F860:K860"/>
    <mergeCell ref="L860:Q860"/>
    <mergeCell ref="R860:U860"/>
    <mergeCell ref="B861:E861"/>
    <mergeCell ref="F853:H853"/>
    <mergeCell ref="I853:K853"/>
    <mergeCell ref="L853:N853"/>
    <mergeCell ref="O853:Q853"/>
    <mergeCell ref="R853:U853"/>
    <mergeCell ref="B854:E854"/>
    <mergeCell ref="F854:H854"/>
    <mergeCell ref="I854:K854"/>
    <mergeCell ref="L854:N854"/>
    <mergeCell ref="O854:Q854"/>
    <mergeCell ref="R862:U862"/>
    <mergeCell ref="C864:U864"/>
    <mergeCell ref="C865:U865"/>
    <mergeCell ref="C866:U866"/>
    <mergeCell ref="A868:A869"/>
    <mergeCell ref="B868:E868"/>
    <mergeCell ref="F868:K868"/>
    <mergeCell ref="L868:Q868"/>
    <mergeCell ref="R868:U868"/>
    <mergeCell ref="B869:E869"/>
    <mergeCell ref="F861:H861"/>
    <mergeCell ref="I861:K861"/>
    <mergeCell ref="L861:N861"/>
    <mergeCell ref="O861:Q861"/>
    <mergeCell ref="R861:U861"/>
    <mergeCell ref="B862:E862"/>
    <mergeCell ref="F862:H862"/>
    <mergeCell ref="I862:K862"/>
    <mergeCell ref="L862:N862"/>
    <mergeCell ref="O862:Q862"/>
    <mergeCell ref="C877:U877"/>
    <mergeCell ref="C878:U878"/>
    <mergeCell ref="C879:U879"/>
    <mergeCell ref="C881:U881"/>
    <mergeCell ref="A882:A883"/>
    <mergeCell ref="B882:E882"/>
    <mergeCell ref="F882:K882"/>
    <mergeCell ref="L882:Q882"/>
    <mergeCell ref="R882:U882"/>
    <mergeCell ref="B883:E883"/>
    <mergeCell ref="R870:U870"/>
    <mergeCell ref="B872:U872"/>
    <mergeCell ref="C873:U873"/>
    <mergeCell ref="C874:U874"/>
    <mergeCell ref="C875:U875"/>
    <mergeCell ref="C876:U876"/>
    <mergeCell ref="F869:H869"/>
    <mergeCell ref="I869:K869"/>
    <mergeCell ref="L869:N869"/>
    <mergeCell ref="O869:Q869"/>
    <mergeCell ref="R869:U869"/>
    <mergeCell ref="B870:E870"/>
    <mergeCell ref="F870:H870"/>
    <mergeCell ref="I870:K870"/>
    <mergeCell ref="L870:N870"/>
    <mergeCell ref="O870:Q870"/>
    <mergeCell ref="C891:U891"/>
    <mergeCell ref="C892:U892"/>
    <mergeCell ref="C893:U893"/>
    <mergeCell ref="A895:A896"/>
    <mergeCell ref="B895:E895"/>
    <mergeCell ref="F895:K895"/>
    <mergeCell ref="L895:Q895"/>
    <mergeCell ref="R895:U895"/>
    <mergeCell ref="B896:E896"/>
    <mergeCell ref="F896:H896"/>
    <mergeCell ref="R884:U884"/>
    <mergeCell ref="B885:U885"/>
    <mergeCell ref="C886:U886"/>
    <mergeCell ref="C887:U887"/>
    <mergeCell ref="C888:U888"/>
    <mergeCell ref="C889:U889"/>
    <mergeCell ref="F883:H883"/>
    <mergeCell ref="I883:K883"/>
    <mergeCell ref="L883:N883"/>
    <mergeCell ref="O883:Q883"/>
    <mergeCell ref="R883:U883"/>
    <mergeCell ref="B884:E884"/>
    <mergeCell ref="F884:H884"/>
    <mergeCell ref="I884:K884"/>
    <mergeCell ref="L884:N884"/>
    <mergeCell ref="O884:Q884"/>
    <mergeCell ref="C905:U905"/>
    <mergeCell ref="C906:U906"/>
    <mergeCell ref="A907:A908"/>
    <mergeCell ref="B907:E907"/>
    <mergeCell ref="F907:K907"/>
    <mergeCell ref="L907:Q907"/>
    <mergeCell ref="R907:U907"/>
    <mergeCell ref="B908:E908"/>
    <mergeCell ref="F908:H908"/>
    <mergeCell ref="I908:K908"/>
    <mergeCell ref="B898:U898"/>
    <mergeCell ref="C899:U899"/>
    <mergeCell ref="C900:U900"/>
    <mergeCell ref="C901:U901"/>
    <mergeCell ref="C902:U902"/>
    <mergeCell ref="C904:U904"/>
    <mergeCell ref="I896:K896"/>
    <mergeCell ref="L896:N896"/>
    <mergeCell ref="O896:Q896"/>
    <mergeCell ref="R896:U896"/>
    <mergeCell ref="B897:E897"/>
    <mergeCell ref="F897:H897"/>
    <mergeCell ref="I897:K897"/>
    <mergeCell ref="L897:N897"/>
    <mergeCell ref="O897:Q897"/>
    <mergeCell ref="R897:U897"/>
    <mergeCell ref="Y909:AB909"/>
    <mergeCell ref="AC909:AF909"/>
    <mergeCell ref="B910:U910"/>
    <mergeCell ref="V910:X910"/>
    <mergeCell ref="Y910:AB910"/>
    <mergeCell ref="AC910:AF910"/>
    <mergeCell ref="B909:E909"/>
    <mergeCell ref="F909:H909"/>
    <mergeCell ref="I909:K909"/>
    <mergeCell ref="L909:N909"/>
    <mergeCell ref="O909:Q909"/>
    <mergeCell ref="R909:U909"/>
    <mergeCell ref="L908:N908"/>
    <mergeCell ref="O908:Q908"/>
    <mergeCell ref="R908:U908"/>
    <mergeCell ref="V908:X908"/>
    <mergeCell ref="Y908:AB908"/>
    <mergeCell ref="AC908:AF908"/>
    <mergeCell ref="C919:U919"/>
    <mergeCell ref="A920:A921"/>
    <mergeCell ref="B920:E920"/>
    <mergeCell ref="F920:K920"/>
    <mergeCell ref="L920:Q920"/>
    <mergeCell ref="R920:U920"/>
    <mergeCell ref="B921:E921"/>
    <mergeCell ref="F921:H921"/>
    <mergeCell ref="I921:K921"/>
    <mergeCell ref="L921:N921"/>
    <mergeCell ref="C911:U911"/>
    <mergeCell ref="C912:U912"/>
    <mergeCell ref="C914:U914"/>
    <mergeCell ref="C915:U915"/>
    <mergeCell ref="C917:U917"/>
    <mergeCell ref="C918:U918"/>
    <mergeCell ref="V909:X909"/>
    <mergeCell ref="F935:H935"/>
    <mergeCell ref="I935:K935"/>
    <mergeCell ref="L935:N935"/>
    <mergeCell ref="O935:Q935"/>
    <mergeCell ref="C925:U925"/>
    <mergeCell ref="C926:U926"/>
    <mergeCell ref="C927:U927"/>
    <mergeCell ref="C929:U929"/>
    <mergeCell ref="C930:U930"/>
    <mergeCell ref="C933:U933"/>
    <mergeCell ref="R922:U922"/>
    <mergeCell ref="V922:X922"/>
    <mergeCell ref="Y922:AB922"/>
    <mergeCell ref="AC922:AF922"/>
    <mergeCell ref="B923:U923"/>
    <mergeCell ref="C924:U924"/>
    <mergeCell ref="O921:Q921"/>
    <mergeCell ref="R921:U921"/>
    <mergeCell ref="V921:X921"/>
    <mergeCell ref="Y921:AB921"/>
    <mergeCell ref="AC921:AF921"/>
    <mergeCell ref="B922:E922"/>
    <mergeCell ref="F922:H922"/>
    <mergeCell ref="I922:K922"/>
    <mergeCell ref="L922:N922"/>
    <mergeCell ref="O922:Q922"/>
    <mergeCell ref="C941:U941"/>
    <mergeCell ref="C942:U942"/>
    <mergeCell ref="C944:U944"/>
    <mergeCell ref="C945:U945"/>
    <mergeCell ref="C946:U946"/>
    <mergeCell ref="A948:A949"/>
    <mergeCell ref="B948:E948"/>
    <mergeCell ref="F948:K948"/>
    <mergeCell ref="L948:Q948"/>
    <mergeCell ref="R948:U948"/>
    <mergeCell ref="V936:X936"/>
    <mergeCell ref="Y936:AB936"/>
    <mergeCell ref="AC936:AF936"/>
    <mergeCell ref="B937:U937"/>
    <mergeCell ref="C938:U938"/>
    <mergeCell ref="C939:U939"/>
    <mergeCell ref="R935:U935"/>
    <mergeCell ref="V935:X935"/>
    <mergeCell ref="Y935:AB935"/>
    <mergeCell ref="AC935:AF935"/>
    <mergeCell ref="B936:E936"/>
    <mergeCell ref="F936:H936"/>
    <mergeCell ref="I936:K936"/>
    <mergeCell ref="L936:N936"/>
    <mergeCell ref="O936:Q936"/>
    <mergeCell ref="R936:U936"/>
    <mergeCell ref="A934:A935"/>
    <mergeCell ref="B934:E934"/>
    <mergeCell ref="F934:K934"/>
    <mergeCell ref="L934:Q934"/>
    <mergeCell ref="R934:U934"/>
    <mergeCell ref="B935:E935"/>
    <mergeCell ref="C955:U955"/>
    <mergeCell ref="C957:U957"/>
    <mergeCell ref="C958:U958"/>
    <mergeCell ref="C959:U959"/>
    <mergeCell ref="A961:A962"/>
    <mergeCell ref="B961:E961"/>
    <mergeCell ref="F961:K961"/>
    <mergeCell ref="L961:Q961"/>
    <mergeCell ref="R961:U961"/>
    <mergeCell ref="B962:E962"/>
    <mergeCell ref="Y950:AB950"/>
    <mergeCell ref="AC950:AF950"/>
    <mergeCell ref="B951:U951"/>
    <mergeCell ref="C952:U952"/>
    <mergeCell ref="C953:U953"/>
    <mergeCell ref="C954:U954"/>
    <mergeCell ref="V949:X949"/>
    <mergeCell ref="Y949:AB949"/>
    <mergeCell ref="AC949:AF949"/>
    <mergeCell ref="B950:E950"/>
    <mergeCell ref="F950:H950"/>
    <mergeCell ref="I950:K950"/>
    <mergeCell ref="L950:N950"/>
    <mergeCell ref="O950:Q950"/>
    <mergeCell ref="R950:U950"/>
    <mergeCell ref="V950:X950"/>
    <mergeCell ref="B949:E949"/>
    <mergeCell ref="F949:H949"/>
    <mergeCell ref="I949:K949"/>
    <mergeCell ref="L949:N949"/>
    <mergeCell ref="O949:Q949"/>
    <mergeCell ref="R949:U949"/>
    <mergeCell ref="A977:A978"/>
    <mergeCell ref="B977:E977"/>
    <mergeCell ref="F977:K977"/>
    <mergeCell ref="L977:Q977"/>
    <mergeCell ref="R977:U977"/>
    <mergeCell ref="B978:E978"/>
    <mergeCell ref="F978:H978"/>
    <mergeCell ref="AC963:AF963"/>
    <mergeCell ref="B966:U966"/>
    <mergeCell ref="C967:U967"/>
    <mergeCell ref="C968:U968"/>
    <mergeCell ref="C970:U970"/>
    <mergeCell ref="C971:U971"/>
    <mergeCell ref="Y962:AB962"/>
    <mergeCell ref="AC962:AF962"/>
    <mergeCell ref="B963:E963"/>
    <mergeCell ref="F963:H963"/>
    <mergeCell ref="I963:K963"/>
    <mergeCell ref="L963:N963"/>
    <mergeCell ref="O963:Q963"/>
    <mergeCell ref="R963:U963"/>
    <mergeCell ref="V963:X963"/>
    <mergeCell ref="Y963:AB963"/>
    <mergeCell ref="F962:H962"/>
    <mergeCell ref="I962:K962"/>
    <mergeCell ref="L962:N962"/>
    <mergeCell ref="O962:Q962"/>
    <mergeCell ref="R962:U962"/>
    <mergeCell ref="V962:X962"/>
    <mergeCell ref="AC978:AF978"/>
    <mergeCell ref="B979:E979"/>
    <mergeCell ref="F979:H979"/>
    <mergeCell ref="I979:K979"/>
    <mergeCell ref="L979:N979"/>
    <mergeCell ref="O979:Q979"/>
    <mergeCell ref="R979:U979"/>
    <mergeCell ref="V979:X979"/>
    <mergeCell ref="Y979:AB979"/>
    <mergeCell ref="AC979:AF979"/>
    <mergeCell ref="I978:K978"/>
    <mergeCell ref="L978:N978"/>
    <mergeCell ref="O978:Q978"/>
    <mergeCell ref="R978:U978"/>
    <mergeCell ref="V978:X978"/>
    <mergeCell ref="Y978:AB978"/>
    <mergeCell ref="C973:U973"/>
    <mergeCell ref="C974:U974"/>
    <mergeCell ref="C975:U975"/>
    <mergeCell ref="L991:N991"/>
    <mergeCell ref="O991:Q991"/>
    <mergeCell ref="R991:U991"/>
    <mergeCell ref="V991:X991"/>
    <mergeCell ref="Y991:AB991"/>
    <mergeCell ref="AC991:AF991"/>
    <mergeCell ref="C987:U987"/>
    <mergeCell ref="C988:U988"/>
    <mergeCell ref="A990:A991"/>
    <mergeCell ref="B990:E990"/>
    <mergeCell ref="F990:K990"/>
    <mergeCell ref="L990:Q990"/>
    <mergeCell ref="R990:U990"/>
    <mergeCell ref="B991:E991"/>
    <mergeCell ref="F991:H991"/>
    <mergeCell ref="I991:K991"/>
    <mergeCell ref="B980:U980"/>
    <mergeCell ref="C981:U981"/>
    <mergeCell ref="C982:U982"/>
    <mergeCell ref="C983:U983"/>
    <mergeCell ref="C984:U984"/>
    <mergeCell ref="C986:U986"/>
    <mergeCell ref="C996:U996"/>
    <mergeCell ref="C997:U997"/>
    <mergeCell ref="C1001:U1001"/>
    <mergeCell ref="C1002:U1002"/>
    <mergeCell ref="C1003:U1003"/>
    <mergeCell ref="A1005:A1006"/>
    <mergeCell ref="B1005:E1005"/>
    <mergeCell ref="F1005:K1005"/>
    <mergeCell ref="L1005:Q1005"/>
    <mergeCell ref="R1005:U1005"/>
    <mergeCell ref="V992:X992"/>
    <mergeCell ref="Y992:AB992"/>
    <mergeCell ref="AC992:AF992"/>
    <mergeCell ref="B993:U993"/>
    <mergeCell ref="C994:U994"/>
    <mergeCell ref="C995:U995"/>
    <mergeCell ref="B992:E992"/>
    <mergeCell ref="F992:H992"/>
    <mergeCell ref="I992:K992"/>
    <mergeCell ref="L992:N992"/>
    <mergeCell ref="O992:Q992"/>
    <mergeCell ref="R992:U992"/>
    <mergeCell ref="C1012:U1012"/>
    <mergeCell ref="C1014:U1014"/>
    <mergeCell ref="C1015:U1015"/>
    <mergeCell ref="C1016:U1016"/>
    <mergeCell ref="A1018:A1019"/>
    <mergeCell ref="B1018:E1018"/>
    <mergeCell ref="F1018:K1018"/>
    <mergeCell ref="L1018:Q1018"/>
    <mergeCell ref="R1018:U1018"/>
    <mergeCell ref="B1019:E1019"/>
    <mergeCell ref="Y1007:AB1007"/>
    <mergeCell ref="AC1007:AF1007"/>
    <mergeCell ref="B1008:U1008"/>
    <mergeCell ref="C1009:U1009"/>
    <mergeCell ref="C1010:U1010"/>
    <mergeCell ref="C1011:U1011"/>
    <mergeCell ref="V1006:X1006"/>
    <mergeCell ref="Y1006:AB1006"/>
    <mergeCell ref="AC1006:AF1006"/>
    <mergeCell ref="B1007:E1007"/>
    <mergeCell ref="F1007:H1007"/>
    <mergeCell ref="I1007:K1007"/>
    <mergeCell ref="L1007:N1007"/>
    <mergeCell ref="O1007:Q1007"/>
    <mergeCell ref="R1007:U1007"/>
    <mergeCell ref="V1007:X1007"/>
    <mergeCell ref="B1006:E1006"/>
    <mergeCell ref="F1006:H1006"/>
    <mergeCell ref="I1006:K1006"/>
    <mergeCell ref="L1006:N1006"/>
    <mergeCell ref="O1006:Q1006"/>
    <mergeCell ref="R1006:U1006"/>
    <mergeCell ref="A1032:A1033"/>
    <mergeCell ref="B1032:E1032"/>
    <mergeCell ref="F1032:K1032"/>
    <mergeCell ref="L1032:Q1032"/>
    <mergeCell ref="R1032:U1032"/>
    <mergeCell ref="B1033:E1033"/>
    <mergeCell ref="F1033:H1033"/>
    <mergeCell ref="AC1020:AF1020"/>
    <mergeCell ref="B1021:U1021"/>
    <mergeCell ref="C1022:U1022"/>
    <mergeCell ref="C1023:U1023"/>
    <mergeCell ref="C1024:U1024"/>
    <mergeCell ref="C1025:U1025"/>
    <mergeCell ref="Y1019:AB1019"/>
    <mergeCell ref="AC1019:AF1019"/>
    <mergeCell ref="B1020:E1020"/>
    <mergeCell ref="F1020:H1020"/>
    <mergeCell ref="I1020:K1020"/>
    <mergeCell ref="L1020:N1020"/>
    <mergeCell ref="O1020:Q1020"/>
    <mergeCell ref="R1020:U1020"/>
    <mergeCell ref="V1020:X1020"/>
    <mergeCell ref="Y1020:AB1020"/>
    <mergeCell ref="F1019:H1019"/>
    <mergeCell ref="I1019:K1019"/>
    <mergeCell ref="L1019:N1019"/>
    <mergeCell ref="O1019:Q1019"/>
    <mergeCell ref="R1019:U1019"/>
    <mergeCell ref="V1019:X1019"/>
    <mergeCell ref="AC1033:AF1033"/>
    <mergeCell ref="B1034:E1034"/>
    <mergeCell ref="F1034:H1034"/>
    <mergeCell ref="I1034:K1034"/>
    <mergeCell ref="L1034:N1034"/>
    <mergeCell ref="O1034:Q1034"/>
    <mergeCell ref="R1034:U1034"/>
    <mergeCell ref="V1034:X1034"/>
    <mergeCell ref="Y1034:AB1034"/>
    <mergeCell ref="AC1034:AF1034"/>
    <mergeCell ref="I1033:K1033"/>
    <mergeCell ref="L1033:N1033"/>
    <mergeCell ref="O1033:Q1033"/>
    <mergeCell ref="R1033:U1033"/>
    <mergeCell ref="V1033:X1033"/>
    <mergeCell ref="Y1033:AB1033"/>
    <mergeCell ref="C1027:U1027"/>
    <mergeCell ref="C1028:U1028"/>
    <mergeCell ref="C1029:U1029"/>
    <mergeCell ref="L1046:N1046"/>
    <mergeCell ref="O1046:Q1046"/>
    <mergeCell ref="R1046:U1046"/>
    <mergeCell ref="V1046:X1046"/>
    <mergeCell ref="Y1046:AB1046"/>
    <mergeCell ref="AC1046:AF1046"/>
    <mergeCell ref="C1042:U1042"/>
    <mergeCell ref="C1043:U1043"/>
    <mergeCell ref="A1045:A1046"/>
    <mergeCell ref="B1045:E1045"/>
    <mergeCell ref="F1045:K1045"/>
    <mergeCell ref="L1045:Q1045"/>
    <mergeCell ref="R1045:U1045"/>
    <mergeCell ref="B1046:E1046"/>
    <mergeCell ref="F1046:H1046"/>
    <mergeCell ref="I1046:K1046"/>
    <mergeCell ref="B1035:U1035"/>
    <mergeCell ref="C1036:U1036"/>
    <mergeCell ref="C1037:U1037"/>
    <mergeCell ref="C1038:U1038"/>
    <mergeCell ref="C1039:U1039"/>
    <mergeCell ref="C1041:U1041"/>
    <mergeCell ref="C1051:U1051"/>
    <mergeCell ref="C1052:U1052"/>
    <mergeCell ref="C1054:U1054"/>
    <mergeCell ref="C1055:U1055"/>
    <mergeCell ref="C1056:U1056"/>
    <mergeCell ref="A1058:A1059"/>
    <mergeCell ref="B1058:E1058"/>
    <mergeCell ref="F1058:K1058"/>
    <mergeCell ref="L1058:Q1058"/>
    <mergeCell ref="R1058:U1058"/>
    <mergeCell ref="V1047:X1047"/>
    <mergeCell ref="Y1047:AB1047"/>
    <mergeCell ref="AC1047:AF1047"/>
    <mergeCell ref="B1048:U1048"/>
    <mergeCell ref="C1049:U1049"/>
    <mergeCell ref="C1050:U1050"/>
    <mergeCell ref="B1047:E1047"/>
    <mergeCell ref="F1047:H1047"/>
    <mergeCell ref="I1047:K1047"/>
    <mergeCell ref="L1047:N1047"/>
    <mergeCell ref="O1047:Q1047"/>
    <mergeCell ref="R1047:U1047"/>
    <mergeCell ref="C1068:U1068"/>
    <mergeCell ref="C1070:U1070"/>
    <mergeCell ref="C1071:U1071"/>
    <mergeCell ref="C1072:U1072"/>
    <mergeCell ref="A1074:A1075"/>
    <mergeCell ref="B1074:E1074"/>
    <mergeCell ref="F1074:K1074"/>
    <mergeCell ref="L1074:Q1074"/>
    <mergeCell ref="R1074:U1074"/>
    <mergeCell ref="B1075:E1075"/>
    <mergeCell ref="Y1060:AB1060"/>
    <mergeCell ref="AC1060:AF1060"/>
    <mergeCell ref="B1064:U1064"/>
    <mergeCell ref="C1065:U1065"/>
    <mergeCell ref="C1066:U1066"/>
    <mergeCell ref="C1067:U1067"/>
    <mergeCell ref="V1059:X1059"/>
    <mergeCell ref="Y1059:AB1059"/>
    <mergeCell ref="AC1059:AF1059"/>
    <mergeCell ref="B1060:E1060"/>
    <mergeCell ref="F1060:H1060"/>
    <mergeCell ref="I1060:K1060"/>
    <mergeCell ref="L1060:N1060"/>
    <mergeCell ref="O1060:Q1060"/>
    <mergeCell ref="R1060:U1060"/>
    <mergeCell ref="V1060:X1060"/>
    <mergeCell ref="B1059:E1059"/>
    <mergeCell ref="F1059:H1059"/>
    <mergeCell ref="I1059:K1059"/>
    <mergeCell ref="L1059:N1059"/>
    <mergeCell ref="O1059:Q1059"/>
    <mergeCell ref="R1059:U1059"/>
    <mergeCell ref="V1082:AF1082"/>
    <mergeCell ref="C1083:U1083"/>
    <mergeCell ref="C1084:U1084"/>
    <mergeCell ref="C1085:U1085"/>
    <mergeCell ref="A1087:A1088"/>
    <mergeCell ref="B1087:E1087"/>
    <mergeCell ref="F1087:K1087"/>
    <mergeCell ref="L1087:Q1087"/>
    <mergeCell ref="R1087:U1087"/>
    <mergeCell ref="B1088:E1088"/>
    <mergeCell ref="AC1076:AF1076"/>
    <mergeCell ref="B1077:U1077"/>
    <mergeCell ref="C1078:U1078"/>
    <mergeCell ref="C1079:U1079"/>
    <mergeCell ref="C1080:U1080"/>
    <mergeCell ref="C1081:U1081"/>
    <mergeCell ref="Y1075:AB1075"/>
    <mergeCell ref="AC1075:AF1075"/>
    <mergeCell ref="B1076:E1076"/>
    <mergeCell ref="F1076:H1076"/>
    <mergeCell ref="I1076:K1076"/>
    <mergeCell ref="L1076:N1076"/>
    <mergeCell ref="O1076:Q1076"/>
    <mergeCell ref="R1076:U1076"/>
    <mergeCell ref="V1076:X1076"/>
    <mergeCell ref="Y1076:AB1076"/>
    <mergeCell ref="F1075:H1075"/>
    <mergeCell ref="I1075:K1075"/>
    <mergeCell ref="L1075:N1075"/>
    <mergeCell ref="O1075:Q1075"/>
    <mergeCell ref="R1075:U1075"/>
    <mergeCell ref="V1075:X1075"/>
    <mergeCell ref="C1096:U1096"/>
    <mergeCell ref="C1097:U1097"/>
    <mergeCell ref="C1098:U1098"/>
    <mergeCell ref="A1100:A1101"/>
    <mergeCell ref="B1100:E1100"/>
    <mergeCell ref="F1100:K1100"/>
    <mergeCell ref="L1100:Q1100"/>
    <mergeCell ref="R1100:U1100"/>
    <mergeCell ref="B1101:E1101"/>
    <mergeCell ref="F1101:H1101"/>
    <mergeCell ref="AC1089:AF1089"/>
    <mergeCell ref="B1090:U1090"/>
    <mergeCell ref="C1091:U1091"/>
    <mergeCell ref="C1092:U1092"/>
    <mergeCell ref="C1093:U1093"/>
    <mergeCell ref="C1094:U1094"/>
    <mergeCell ref="Y1088:AB1088"/>
    <mergeCell ref="AC1088:AF1088"/>
    <mergeCell ref="B1089:E1089"/>
    <mergeCell ref="F1089:H1089"/>
    <mergeCell ref="I1089:K1089"/>
    <mergeCell ref="L1089:N1089"/>
    <mergeCell ref="O1089:Q1089"/>
    <mergeCell ref="R1089:U1089"/>
    <mergeCell ref="V1089:X1089"/>
    <mergeCell ref="Y1089:AB1089"/>
    <mergeCell ref="F1088:H1088"/>
    <mergeCell ref="I1088:K1088"/>
    <mergeCell ref="L1088:N1088"/>
    <mergeCell ref="O1088:Q1088"/>
    <mergeCell ref="R1088:U1088"/>
    <mergeCell ref="V1088:X1088"/>
    <mergeCell ref="B1111:C1111"/>
    <mergeCell ref="D1111:P1111"/>
    <mergeCell ref="Q1111:U1111"/>
    <mergeCell ref="B1112:C1112"/>
    <mergeCell ref="D1112:P1112"/>
    <mergeCell ref="Q1112:U1112"/>
    <mergeCell ref="B1103:U1103"/>
    <mergeCell ref="C1104:U1104"/>
    <mergeCell ref="C1105:U1105"/>
    <mergeCell ref="C1106:U1106"/>
    <mergeCell ref="C1107:U1107"/>
    <mergeCell ref="B1109:U1109"/>
    <mergeCell ref="AC1101:AF1101"/>
    <mergeCell ref="B1102:E1102"/>
    <mergeCell ref="F1102:H1102"/>
    <mergeCell ref="I1102:K1102"/>
    <mergeCell ref="L1102:N1102"/>
    <mergeCell ref="O1102:Q1102"/>
    <mergeCell ref="R1102:U1102"/>
    <mergeCell ref="V1102:X1102"/>
    <mergeCell ref="Y1102:AB1102"/>
    <mergeCell ref="AC1102:AF1102"/>
    <mergeCell ref="I1101:K1101"/>
    <mergeCell ref="L1101:N1101"/>
    <mergeCell ref="O1101:Q1101"/>
    <mergeCell ref="R1101:U1101"/>
    <mergeCell ref="V1101:X1101"/>
    <mergeCell ref="Y1101:AB1101"/>
    <mergeCell ref="B1117:C1117"/>
    <mergeCell ref="D1117:P1117"/>
    <mergeCell ref="Q1117:U1117"/>
    <mergeCell ref="B1118:C1118"/>
    <mergeCell ref="D1118:P1118"/>
    <mergeCell ref="Q1118:U1118"/>
    <mergeCell ref="B1115:C1115"/>
    <mergeCell ref="D1115:P1115"/>
    <mergeCell ref="Q1115:U1115"/>
    <mergeCell ref="B1116:C1116"/>
    <mergeCell ref="D1116:P1116"/>
    <mergeCell ref="Q1116:U1116"/>
    <mergeCell ref="B1113:C1113"/>
    <mergeCell ref="D1113:P1113"/>
    <mergeCell ref="Q1113:U1113"/>
    <mergeCell ref="B1114:C1114"/>
    <mergeCell ref="D1114:P1114"/>
    <mergeCell ref="Q1114:U1114"/>
    <mergeCell ref="B1123:C1123"/>
    <mergeCell ref="D1123:P1123"/>
    <mergeCell ref="Q1123:U1123"/>
    <mergeCell ref="B1124:C1124"/>
    <mergeCell ref="D1124:P1124"/>
    <mergeCell ref="Q1124:U1124"/>
    <mergeCell ref="B1121:C1121"/>
    <mergeCell ref="D1121:P1121"/>
    <mergeCell ref="Q1121:U1121"/>
    <mergeCell ref="B1122:C1122"/>
    <mergeCell ref="D1122:P1122"/>
    <mergeCell ref="Q1122:U1122"/>
    <mergeCell ref="B1119:C1119"/>
    <mergeCell ref="D1119:P1119"/>
    <mergeCell ref="Q1119:U1119"/>
    <mergeCell ref="B1120:C1120"/>
    <mergeCell ref="D1120:P1120"/>
    <mergeCell ref="Q1120:U1120"/>
    <mergeCell ref="B1129:C1129"/>
    <mergeCell ref="D1129:P1129"/>
    <mergeCell ref="Q1129:U1129"/>
    <mergeCell ref="B1130:C1130"/>
    <mergeCell ref="D1130:P1130"/>
    <mergeCell ref="Q1130:U1130"/>
    <mergeCell ref="B1127:C1127"/>
    <mergeCell ref="D1127:P1127"/>
    <mergeCell ref="Q1127:U1127"/>
    <mergeCell ref="B1128:C1128"/>
    <mergeCell ref="D1128:P1128"/>
    <mergeCell ref="Q1128:U1128"/>
    <mergeCell ref="B1125:C1125"/>
    <mergeCell ref="D1125:P1125"/>
    <mergeCell ref="Q1125:U1125"/>
    <mergeCell ref="B1126:C1126"/>
    <mergeCell ref="D1126:P1126"/>
    <mergeCell ref="Q1126:U1126"/>
    <mergeCell ref="A1136:A1137"/>
    <mergeCell ref="C1136:U1136"/>
    <mergeCell ref="C1137:U1137"/>
    <mergeCell ref="A1139:A1140"/>
    <mergeCell ref="B1139:E1139"/>
    <mergeCell ref="F1139:K1139"/>
    <mergeCell ref="L1139:Q1139"/>
    <mergeCell ref="R1139:U1139"/>
    <mergeCell ref="B1140:E1140"/>
    <mergeCell ref="F1140:H1140"/>
    <mergeCell ref="B1133:C1133"/>
    <mergeCell ref="D1133:P1133"/>
    <mergeCell ref="Q1133:U1133"/>
    <mergeCell ref="V1133:AD1133"/>
    <mergeCell ref="B1134:P1134"/>
    <mergeCell ref="Q1134:U1134"/>
    <mergeCell ref="B1131:C1131"/>
    <mergeCell ref="D1131:P1131"/>
    <mergeCell ref="Q1131:U1131"/>
    <mergeCell ref="B1132:C1132"/>
    <mergeCell ref="D1132:P1132"/>
    <mergeCell ref="Q1132:U1132"/>
    <mergeCell ref="B1142:M1142"/>
    <mergeCell ref="N1142:U1142"/>
    <mergeCell ref="C1143:U1143"/>
    <mergeCell ref="C1144:U1144"/>
    <mergeCell ref="C1145:U1145"/>
    <mergeCell ref="A1146:A1147"/>
    <mergeCell ref="B1146:E1146"/>
    <mergeCell ref="F1146:K1146"/>
    <mergeCell ref="L1146:Q1146"/>
    <mergeCell ref="R1146:U1146"/>
    <mergeCell ref="AC1140:AF1140"/>
    <mergeCell ref="B1141:E1141"/>
    <mergeCell ref="F1141:H1141"/>
    <mergeCell ref="I1141:K1141"/>
    <mergeCell ref="L1141:N1141"/>
    <mergeCell ref="O1141:Q1141"/>
    <mergeCell ref="R1141:U1141"/>
    <mergeCell ref="V1141:X1141"/>
    <mergeCell ref="Y1141:AB1141"/>
    <mergeCell ref="AC1141:AF1141"/>
    <mergeCell ref="I1140:K1140"/>
    <mergeCell ref="L1140:N1140"/>
    <mergeCell ref="O1140:Q1140"/>
    <mergeCell ref="R1140:U1140"/>
    <mergeCell ref="V1140:X1140"/>
    <mergeCell ref="Y1140:AB1140"/>
    <mergeCell ref="C1153:U1153"/>
    <mergeCell ref="B1155:M1155"/>
    <mergeCell ref="N1155:U1155"/>
    <mergeCell ref="C1156:U1156"/>
    <mergeCell ref="C1157:U1157"/>
    <mergeCell ref="C1158:U1158"/>
    <mergeCell ref="Y1148:AB1148"/>
    <mergeCell ref="AC1148:AF1148"/>
    <mergeCell ref="B1149:U1149"/>
    <mergeCell ref="C1150:U1150"/>
    <mergeCell ref="C1151:U1151"/>
    <mergeCell ref="C1152:U1152"/>
    <mergeCell ref="V1147:X1147"/>
    <mergeCell ref="Y1147:AB1147"/>
    <mergeCell ref="AC1147:AF1147"/>
    <mergeCell ref="B1148:E1148"/>
    <mergeCell ref="F1148:H1148"/>
    <mergeCell ref="I1148:K1148"/>
    <mergeCell ref="L1148:N1148"/>
    <mergeCell ref="O1148:Q1148"/>
    <mergeCell ref="R1148:U1148"/>
    <mergeCell ref="V1148:X1148"/>
    <mergeCell ref="B1147:E1147"/>
    <mergeCell ref="F1147:H1147"/>
    <mergeCell ref="I1147:K1147"/>
    <mergeCell ref="L1147:N1147"/>
    <mergeCell ref="O1147:Q1147"/>
    <mergeCell ref="R1147:U1147"/>
    <mergeCell ref="V1162:X1162"/>
    <mergeCell ref="Y1162:AB1162"/>
    <mergeCell ref="AC1162:AF1162"/>
    <mergeCell ref="B1163:U1163"/>
    <mergeCell ref="C1164:U1164"/>
    <mergeCell ref="C1165:U1165"/>
    <mergeCell ref="R1161:U1161"/>
    <mergeCell ref="V1161:X1161"/>
    <mergeCell ref="Y1161:AB1161"/>
    <mergeCell ref="AC1161:AF1161"/>
    <mergeCell ref="B1162:E1162"/>
    <mergeCell ref="F1162:H1162"/>
    <mergeCell ref="I1162:K1162"/>
    <mergeCell ref="L1162:N1162"/>
    <mergeCell ref="O1162:Q1162"/>
    <mergeCell ref="R1162:U1162"/>
    <mergeCell ref="A1160:A1161"/>
    <mergeCell ref="B1160:E1160"/>
    <mergeCell ref="F1160:K1160"/>
    <mergeCell ref="L1160:Q1160"/>
    <mergeCell ref="R1160:U1160"/>
    <mergeCell ref="B1161:E1161"/>
    <mergeCell ref="F1161:H1161"/>
    <mergeCell ref="I1161:K1161"/>
    <mergeCell ref="L1161:N1161"/>
    <mergeCell ref="O1161:Q1161"/>
    <mergeCell ref="W1171:AM1171"/>
    <mergeCell ref="B1172:E1172"/>
    <mergeCell ref="F1172:H1172"/>
    <mergeCell ref="I1172:K1172"/>
    <mergeCell ref="L1172:N1172"/>
    <mergeCell ref="O1172:Q1172"/>
    <mergeCell ref="R1172:U1172"/>
    <mergeCell ref="V1172:X1172"/>
    <mergeCell ref="Y1172:AB1172"/>
    <mergeCell ref="AC1172:AF1172"/>
    <mergeCell ref="C1167:U1167"/>
    <mergeCell ref="C1168:U1168"/>
    <mergeCell ref="V1168:AM1168"/>
    <mergeCell ref="C1169:U1169"/>
    <mergeCell ref="W1169:AM1169"/>
    <mergeCell ref="A1171:A1172"/>
    <mergeCell ref="B1171:E1171"/>
    <mergeCell ref="F1171:K1171"/>
    <mergeCell ref="L1171:Q1171"/>
    <mergeCell ref="R1171:U1171"/>
    <mergeCell ref="C1176:U1176"/>
    <mergeCell ref="C1177:U1177"/>
    <mergeCell ref="C1178:U1178"/>
    <mergeCell ref="C1179:U1179"/>
    <mergeCell ref="A1181:A1182"/>
    <mergeCell ref="B1181:E1181"/>
    <mergeCell ref="F1181:K1181"/>
    <mergeCell ref="L1181:Q1181"/>
    <mergeCell ref="R1181:U1181"/>
    <mergeCell ref="B1182:E1182"/>
    <mergeCell ref="V1173:X1173"/>
    <mergeCell ref="Y1173:AB1173"/>
    <mergeCell ref="AC1173:AF1173"/>
    <mergeCell ref="B1174:U1174"/>
    <mergeCell ref="W1174:AM1174"/>
    <mergeCell ref="C1175:U1175"/>
    <mergeCell ref="W1175:AM1175"/>
    <mergeCell ref="B1173:E1173"/>
    <mergeCell ref="F1173:H1173"/>
    <mergeCell ref="I1173:K1173"/>
    <mergeCell ref="L1173:N1173"/>
    <mergeCell ref="O1173:Q1173"/>
    <mergeCell ref="R1173:U1173"/>
    <mergeCell ref="A1195:A1196"/>
    <mergeCell ref="B1195:E1195"/>
    <mergeCell ref="F1195:K1195"/>
    <mergeCell ref="L1195:Q1195"/>
    <mergeCell ref="R1195:U1195"/>
    <mergeCell ref="B1196:E1196"/>
    <mergeCell ref="F1196:H1196"/>
    <mergeCell ref="AC1183:AF1183"/>
    <mergeCell ref="B1184:U1184"/>
    <mergeCell ref="C1185:U1185"/>
    <mergeCell ref="C1186:U1186"/>
    <mergeCell ref="C1187:U1187"/>
    <mergeCell ref="C1189:U1189"/>
    <mergeCell ref="Y1182:AB1182"/>
    <mergeCell ref="AC1182:AF1182"/>
    <mergeCell ref="B1183:E1183"/>
    <mergeCell ref="F1183:H1183"/>
    <mergeCell ref="I1183:K1183"/>
    <mergeCell ref="L1183:N1183"/>
    <mergeCell ref="O1183:Q1183"/>
    <mergeCell ref="R1183:U1183"/>
    <mergeCell ref="V1183:X1183"/>
    <mergeCell ref="Y1183:AB1183"/>
    <mergeCell ref="F1182:H1182"/>
    <mergeCell ref="I1182:K1182"/>
    <mergeCell ref="L1182:N1182"/>
    <mergeCell ref="O1182:Q1182"/>
    <mergeCell ref="R1182:U1182"/>
    <mergeCell ref="V1182:X1182"/>
    <mergeCell ref="AC1196:AF1196"/>
    <mergeCell ref="B1197:E1197"/>
    <mergeCell ref="F1197:H1197"/>
    <mergeCell ref="I1197:K1197"/>
    <mergeCell ref="L1197:N1197"/>
    <mergeCell ref="O1197:Q1197"/>
    <mergeCell ref="R1197:U1197"/>
    <mergeCell ref="V1197:X1197"/>
    <mergeCell ref="Y1197:AB1197"/>
    <mergeCell ref="AC1197:AF1197"/>
    <mergeCell ref="I1196:K1196"/>
    <mergeCell ref="L1196:N1196"/>
    <mergeCell ref="O1196:Q1196"/>
    <mergeCell ref="R1196:U1196"/>
    <mergeCell ref="V1196:X1196"/>
    <mergeCell ref="Y1196:AB1196"/>
    <mergeCell ref="C1191:U1191"/>
    <mergeCell ref="C1192:U1192"/>
    <mergeCell ref="C1193:U1193"/>
    <mergeCell ref="L1209:N1209"/>
    <mergeCell ref="O1209:Q1209"/>
    <mergeCell ref="R1209:U1209"/>
    <mergeCell ref="V1209:X1209"/>
    <mergeCell ref="Y1209:AB1209"/>
    <mergeCell ref="AC1209:AF1209"/>
    <mergeCell ref="C1205:U1205"/>
    <mergeCell ref="C1206:U1206"/>
    <mergeCell ref="A1208:A1209"/>
    <mergeCell ref="B1208:E1208"/>
    <mergeCell ref="F1208:K1208"/>
    <mergeCell ref="L1208:Q1208"/>
    <mergeCell ref="R1208:U1208"/>
    <mergeCell ref="B1209:E1209"/>
    <mergeCell ref="F1209:H1209"/>
    <mergeCell ref="I1209:K1209"/>
    <mergeCell ref="B1198:U1198"/>
    <mergeCell ref="C1199:U1199"/>
    <mergeCell ref="C1200:U1200"/>
    <mergeCell ref="C1201:U1201"/>
    <mergeCell ref="C1202:U1202"/>
    <mergeCell ref="C1204:U1204"/>
    <mergeCell ref="C1214:U1214"/>
    <mergeCell ref="C1215:U1215"/>
    <mergeCell ref="C1217:U1217"/>
    <mergeCell ref="C1218:U1218"/>
    <mergeCell ref="C1222:U1222"/>
    <mergeCell ref="A1224:A1225"/>
    <mergeCell ref="B1224:E1224"/>
    <mergeCell ref="F1224:K1224"/>
    <mergeCell ref="L1224:Q1224"/>
    <mergeCell ref="R1224:U1224"/>
    <mergeCell ref="V1210:X1210"/>
    <mergeCell ref="Y1210:AB1210"/>
    <mergeCell ref="AC1210:AF1210"/>
    <mergeCell ref="B1211:U1211"/>
    <mergeCell ref="C1212:U1212"/>
    <mergeCell ref="C1213:U1213"/>
    <mergeCell ref="B1210:E1210"/>
    <mergeCell ref="F1210:H1210"/>
    <mergeCell ref="I1210:K1210"/>
    <mergeCell ref="L1210:N1210"/>
    <mergeCell ref="O1210:Q1210"/>
    <mergeCell ref="R1210:U1210"/>
    <mergeCell ref="C1231:U1231"/>
    <mergeCell ref="C1233:U1233"/>
    <mergeCell ref="C1234:U1234"/>
    <mergeCell ref="C1235:U1235"/>
    <mergeCell ref="A1237:A1238"/>
    <mergeCell ref="B1237:E1237"/>
    <mergeCell ref="F1237:K1237"/>
    <mergeCell ref="L1237:Q1237"/>
    <mergeCell ref="R1237:U1237"/>
    <mergeCell ref="B1238:E1238"/>
    <mergeCell ref="Y1226:AB1226"/>
    <mergeCell ref="AC1226:AF1226"/>
    <mergeCell ref="B1227:U1227"/>
    <mergeCell ref="C1228:U1228"/>
    <mergeCell ref="C1229:U1229"/>
    <mergeCell ref="C1230:U1230"/>
    <mergeCell ref="V1225:X1225"/>
    <mergeCell ref="Y1225:AB1225"/>
    <mergeCell ref="AC1225:AF1225"/>
    <mergeCell ref="B1226:E1226"/>
    <mergeCell ref="F1226:H1226"/>
    <mergeCell ref="I1226:K1226"/>
    <mergeCell ref="L1226:N1226"/>
    <mergeCell ref="O1226:Q1226"/>
    <mergeCell ref="R1226:U1226"/>
    <mergeCell ref="V1226:X1226"/>
    <mergeCell ref="B1225:E1225"/>
    <mergeCell ref="F1225:H1225"/>
    <mergeCell ref="I1225:K1225"/>
    <mergeCell ref="L1225:N1225"/>
    <mergeCell ref="O1225:Q1225"/>
    <mergeCell ref="R1225:U1225"/>
    <mergeCell ref="C1246:U1246"/>
    <mergeCell ref="C1247:U1247"/>
    <mergeCell ref="C1248:U1248"/>
    <mergeCell ref="A1250:A1251"/>
    <mergeCell ref="B1250:E1250"/>
    <mergeCell ref="F1250:K1250"/>
    <mergeCell ref="L1250:Q1250"/>
    <mergeCell ref="R1250:U1250"/>
    <mergeCell ref="B1251:E1251"/>
    <mergeCell ref="F1251:H1251"/>
    <mergeCell ref="AC1239:AF1239"/>
    <mergeCell ref="B1240:U1240"/>
    <mergeCell ref="C1241:U1241"/>
    <mergeCell ref="C1242:U1242"/>
    <mergeCell ref="C1243:U1243"/>
    <mergeCell ref="C1244:U1244"/>
    <mergeCell ref="Y1238:AB1238"/>
    <mergeCell ref="AC1238:AF1238"/>
    <mergeCell ref="B1239:E1239"/>
    <mergeCell ref="F1239:H1239"/>
    <mergeCell ref="I1239:K1239"/>
    <mergeCell ref="L1239:N1239"/>
    <mergeCell ref="O1239:Q1239"/>
    <mergeCell ref="R1239:U1239"/>
    <mergeCell ref="V1239:X1239"/>
    <mergeCell ref="Y1239:AB1239"/>
    <mergeCell ref="F1238:H1238"/>
    <mergeCell ref="I1238:K1238"/>
    <mergeCell ref="L1238:N1238"/>
    <mergeCell ref="O1238:Q1238"/>
    <mergeCell ref="R1238:U1238"/>
    <mergeCell ref="V1238:X1238"/>
    <mergeCell ref="C1261:O1261"/>
    <mergeCell ref="P1261:U1261"/>
    <mergeCell ref="C1262:O1262"/>
    <mergeCell ref="P1262:U1262"/>
    <mergeCell ref="C1263:O1263"/>
    <mergeCell ref="P1263:U1263"/>
    <mergeCell ref="B1253:U1253"/>
    <mergeCell ref="C1254:U1254"/>
    <mergeCell ref="C1255:U1255"/>
    <mergeCell ref="C1256:U1256"/>
    <mergeCell ref="C1257:U1257"/>
    <mergeCell ref="B1259:U1259"/>
    <mergeCell ref="AC1251:AF1251"/>
    <mergeCell ref="B1252:E1252"/>
    <mergeCell ref="F1252:H1252"/>
    <mergeCell ref="I1252:K1252"/>
    <mergeCell ref="L1252:N1252"/>
    <mergeCell ref="O1252:Q1252"/>
    <mergeCell ref="R1252:U1252"/>
    <mergeCell ref="V1252:X1252"/>
    <mergeCell ref="Y1252:AB1252"/>
    <mergeCell ref="AC1252:AF1252"/>
    <mergeCell ref="I1251:K1251"/>
    <mergeCell ref="L1251:N1251"/>
    <mergeCell ref="O1251:Q1251"/>
    <mergeCell ref="R1251:U1251"/>
    <mergeCell ref="V1251:X1251"/>
    <mergeCell ref="Y1251:AB1251"/>
    <mergeCell ref="C1270:O1270"/>
    <mergeCell ref="P1270:U1270"/>
    <mergeCell ref="B1271:O1271"/>
    <mergeCell ref="P1271:U1271"/>
    <mergeCell ref="B1273:U1273"/>
    <mergeCell ref="A1275:A1277"/>
    <mergeCell ref="C1275:T1275"/>
    <mergeCell ref="C1276:U1276"/>
    <mergeCell ref="C1277:U1277"/>
    <mergeCell ref="C1267:O1267"/>
    <mergeCell ref="P1267:U1267"/>
    <mergeCell ref="C1268:O1268"/>
    <mergeCell ref="P1268:U1268"/>
    <mergeCell ref="C1269:O1269"/>
    <mergeCell ref="P1269:U1269"/>
    <mergeCell ref="C1264:O1264"/>
    <mergeCell ref="P1264:U1264"/>
    <mergeCell ref="C1265:O1265"/>
    <mergeCell ref="P1265:U1265"/>
    <mergeCell ref="C1266:O1266"/>
    <mergeCell ref="P1266:U1266"/>
    <mergeCell ref="R1280:U1280"/>
    <mergeCell ref="V1280:X1280"/>
    <mergeCell ref="Y1280:AB1280"/>
    <mergeCell ref="AC1280:AF1280"/>
    <mergeCell ref="B1281:E1281"/>
    <mergeCell ref="F1281:H1281"/>
    <mergeCell ref="I1281:K1281"/>
    <mergeCell ref="L1281:N1281"/>
    <mergeCell ref="O1281:Q1281"/>
    <mergeCell ref="R1281:U1281"/>
    <mergeCell ref="A1279:A1280"/>
    <mergeCell ref="B1279:E1279"/>
    <mergeCell ref="F1279:K1279"/>
    <mergeCell ref="L1279:Q1279"/>
    <mergeCell ref="R1279:U1279"/>
    <mergeCell ref="B1280:E1280"/>
    <mergeCell ref="F1280:H1280"/>
    <mergeCell ref="I1280:K1280"/>
    <mergeCell ref="L1280:N1280"/>
    <mergeCell ref="O1280:Q1280"/>
    <mergeCell ref="L1287:N1287"/>
    <mergeCell ref="O1287:Q1287"/>
    <mergeCell ref="R1287:U1287"/>
    <mergeCell ref="V1287:X1287"/>
    <mergeCell ref="Y1287:AB1287"/>
    <mergeCell ref="AC1287:AF1287"/>
    <mergeCell ref="C1284:U1284"/>
    <mergeCell ref="C1285:U1285"/>
    <mergeCell ref="A1286:A1287"/>
    <mergeCell ref="B1286:E1286"/>
    <mergeCell ref="F1286:K1286"/>
    <mergeCell ref="L1286:Q1286"/>
    <mergeCell ref="R1286:U1286"/>
    <mergeCell ref="B1287:E1287"/>
    <mergeCell ref="F1287:H1287"/>
    <mergeCell ref="I1287:K1287"/>
    <mergeCell ref="V1281:X1281"/>
    <mergeCell ref="Y1281:AB1281"/>
    <mergeCell ref="AC1281:AF1281"/>
    <mergeCell ref="B1282:M1282"/>
    <mergeCell ref="N1282:U1282"/>
    <mergeCell ref="C1283:U1283"/>
    <mergeCell ref="C1293:U1293"/>
    <mergeCell ref="C1294:U1294"/>
    <mergeCell ref="C1296:U1296"/>
    <mergeCell ref="C1297:U1297"/>
    <mergeCell ref="C1298:U1298"/>
    <mergeCell ref="A1300:A1301"/>
    <mergeCell ref="B1300:E1300"/>
    <mergeCell ref="F1300:K1300"/>
    <mergeCell ref="L1300:Q1300"/>
    <mergeCell ref="R1300:U1300"/>
    <mergeCell ref="V1288:X1288"/>
    <mergeCell ref="Y1288:AB1288"/>
    <mergeCell ref="AC1288:AF1288"/>
    <mergeCell ref="B1289:U1289"/>
    <mergeCell ref="C1290:U1290"/>
    <mergeCell ref="C1291:U1291"/>
    <mergeCell ref="B1288:E1288"/>
    <mergeCell ref="F1288:H1288"/>
    <mergeCell ref="I1288:K1288"/>
    <mergeCell ref="L1288:N1288"/>
    <mergeCell ref="O1288:Q1288"/>
    <mergeCell ref="R1288:U1288"/>
    <mergeCell ref="C1307:U1307"/>
    <mergeCell ref="C1308:U1308"/>
    <mergeCell ref="C1309:U1309"/>
    <mergeCell ref="C1310:U1310"/>
    <mergeCell ref="A1312:A1313"/>
    <mergeCell ref="B1312:E1312"/>
    <mergeCell ref="F1312:K1312"/>
    <mergeCell ref="L1312:Q1312"/>
    <mergeCell ref="R1312:U1312"/>
    <mergeCell ref="B1313:E1313"/>
    <mergeCell ref="Y1302:AB1302"/>
    <mergeCell ref="AC1302:AF1302"/>
    <mergeCell ref="B1303:U1303"/>
    <mergeCell ref="C1304:U1304"/>
    <mergeCell ref="C1305:U1305"/>
    <mergeCell ref="C1306:U1306"/>
    <mergeCell ref="V1301:X1301"/>
    <mergeCell ref="Y1301:AB1301"/>
    <mergeCell ref="AC1301:AF1301"/>
    <mergeCell ref="B1302:E1302"/>
    <mergeCell ref="F1302:H1302"/>
    <mergeCell ref="I1302:K1302"/>
    <mergeCell ref="L1302:N1302"/>
    <mergeCell ref="O1302:Q1302"/>
    <mergeCell ref="R1302:U1302"/>
    <mergeCell ref="V1302:X1302"/>
    <mergeCell ref="B1301:E1301"/>
    <mergeCell ref="F1301:H1301"/>
    <mergeCell ref="I1301:K1301"/>
    <mergeCell ref="L1301:N1301"/>
    <mergeCell ref="O1301:Q1301"/>
    <mergeCell ref="R1301:U1301"/>
    <mergeCell ref="C1321:U1321"/>
    <mergeCell ref="C1322:U1322"/>
    <mergeCell ref="C1323:U1323"/>
    <mergeCell ref="A1334:A1335"/>
    <mergeCell ref="B1334:E1334"/>
    <mergeCell ref="F1334:K1334"/>
    <mergeCell ref="L1334:Q1334"/>
    <mergeCell ref="R1334:U1334"/>
    <mergeCell ref="B1335:E1335"/>
    <mergeCell ref="F1335:H1335"/>
    <mergeCell ref="AC1314:AF1314"/>
    <mergeCell ref="B1315:U1315"/>
    <mergeCell ref="C1316:U1316"/>
    <mergeCell ref="C1317:U1317"/>
    <mergeCell ref="C1318:U1318"/>
    <mergeCell ref="C1319:U1319"/>
    <mergeCell ref="Y1313:AB1313"/>
    <mergeCell ref="AC1313:AF1313"/>
    <mergeCell ref="B1314:E1314"/>
    <mergeCell ref="F1314:H1314"/>
    <mergeCell ref="I1314:K1314"/>
    <mergeCell ref="L1314:N1314"/>
    <mergeCell ref="O1314:Q1314"/>
    <mergeCell ref="R1314:U1314"/>
    <mergeCell ref="V1314:X1314"/>
    <mergeCell ref="Y1314:AB1314"/>
    <mergeCell ref="F1313:H1313"/>
    <mergeCell ref="I1313:K1313"/>
    <mergeCell ref="L1313:N1313"/>
    <mergeCell ref="O1313:Q1313"/>
    <mergeCell ref="R1313:U1313"/>
    <mergeCell ref="V1313:X1313"/>
    <mergeCell ref="A1348:A1349"/>
    <mergeCell ref="B1348:E1348"/>
    <mergeCell ref="F1348:K1348"/>
    <mergeCell ref="L1348:Q1348"/>
    <mergeCell ref="R1348:U1348"/>
    <mergeCell ref="B1349:E1349"/>
    <mergeCell ref="F1349:H1349"/>
    <mergeCell ref="B1338:U1338"/>
    <mergeCell ref="C1339:U1339"/>
    <mergeCell ref="C1340:U1340"/>
    <mergeCell ref="C1341:U1341"/>
    <mergeCell ref="C1342:U1342"/>
    <mergeCell ref="B1343:M1343"/>
    <mergeCell ref="N1343:U1343"/>
    <mergeCell ref="AC1335:AF1335"/>
    <mergeCell ref="B1336:E1336"/>
    <mergeCell ref="F1336:H1336"/>
    <mergeCell ref="I1336:K1336"/>
    <mergeCell ref="L1336:N1336"/>
    <mergeCell ref="O1336:Q1336"/>
    <mergeCell ref="R1336:U1336"/>
    <mergeCell ref="V1336:X1336"/>
    <mergeCell ref="Y1336:AB1336"/>
    <mergeCell ref="AC1336:AF1336"/>
    <mergeCell ref="I1335:K1335"/>
    <mergeCell ref="L1335:N1335"/>
    <mergeCell ref="O1335:Q1335"/>
    <mergeCell ref="R1335:U1335"/>
    <mergeCell ref="V1335:X1335"/>
    <mergeCell ref="Y1335:AB1335"/>
    <mergeCell ref="AC1349:AF1349"/>
    <mergeCell ref="B1350:E1350"/>
    <mergeCell ref="F1350:H1350"/>
    <mergeCell ref="I1350:K1350"/>
    <mergeCell ref="L1350:N1350"/>
    <mergeCell ref="O1350:Q1350"/>
    <mergeCell ref="R1350:U1350"/>
    <mergeCell ref="V1350:X1350"/>
    <mergeCell ref="Y1350:AB1350"/>
    <mergeCell ref="AC1350:AF1350"/>
    <mergeCell ref="I1349:K1349"/>
    <mergeCell ref="L1349:N1349"/>
    <mergeCell ref="O1349:Q1349"/>
    <mergeCell ref="R1349:U1349"/>
    <mergeCell ref="V1349:X1349"/>
    <mergeCell ref="Y1349:AB1349"/>
    <mergeCell ref="C1344:U1344"/>
    <mergeCell ref="C1345:U1345"/>
    <mergeCell ref="C1346:U1346"/>
    <mergeCell ref="L1362:N1362"/>
    <mergeCell ref="O1362:Q1362"/>
    <mergeCell ref="R1362:U1362"/>
    <mergeCell ref="V1362:X1362"/>
    <mergeCell ref="Y1362:AB1362"/>
    <mergeCell ref="AC1362:AF1362"/>
    <mergeCell ref="C1358:U1358"/>
    <mergeCell ref="C1359:U1359"/>
    <mergeCell ref="A1361:A1362"/>
    <mergeCell ref="B1361:E1361"/>
    <mergeCell ref="F1361:K1361"/>
    <mergeCell ref="L1361:Q1361"/>
    <mergeCell ref="R1361:U1361"/>
    <mergeCell ref="B1362:E1362"/>
    <mergeCell ref="F1362:H1362"/>
    <mergeCell ref="I1362:K1362"/>
    <mergeCell ref="B1351:U1351"/>
    <mergeCell ref="C1352:U1352"/>
    <mergeCell ref="C1353:U1353"/>
    <mergeCell ref="C1354:U1354"/>
    <mergeCell ref="C1355:U1355"/>
    <mergeCell ref="C1357:U1357"/>
    <mergeCell ref="C1369:U1369"/>
    <mergeCell ref="C1370:U1370"/>
    <mergeCell ref="C1372:U1372"/>
    <mergeCell ref="C1373:U1373"/>
    <mergeCell ref="C1374:U1374"/>
    <mergeCell ref="A1376:A1377"/>
    <mergeCell ref="B1376:E1376"/>
    <mergeCell ref="F1376:K1376"/>
    <mergeCell ref="L1376:Q1376"/>
    <mergeCell ref="R1376:U1376"/>
    <mergeCell ref="V1363:X1363"/>
    <mergeCell ref="Y1363:AB1363"/>
    <mergeCell ref="AC1363:AF1363"/>
    <mergeCell ref="B1366:U1366"/>
    <mergeCell ref="C1367:U1367"/>
    <mergeCell ref="C1368:U1368"/>
    <mergeCell ref="B1363:E1363"/>
    <mergeCell ref="F1363:H1363"/>
    <mergeCell ref="I1363:K1363"/>
    <mergeCell ref="L1363:N1363"/>
    <mergeCell ref="O1363:Q1363"/>
    <mergeCell ref="R1363:U1363"/>
    <mergeCell ref="C1383:U1383"/>
    <mergeCell ref="C1384:U1384"/>
    <mergeCell ref="C1385:U1385"/>
    <mergeCell ref="C1386:U1386"/>
    <mergeCell ref="A1388:A1389"/>
    <mergeCell ref="B1388:E1388"/>
    <mergeCell ref="F1388:K1388"/>
    <mergeCell ref="L1388:Q1388"/>
    <mergeCell ref="R1388:U1388"/>
    <mergeCell ref="B1389:E1389"/>
    <mergeCell ref="Y1378:AB1378"/>
    <mergeCell ref="AC1378:AF1378"/>
    <mergeCell ref="B1379:U1379"/>
    <mergeCell ref="C1380:U1380"/>
    <mergeCell ref="C1381:U1381"/>
    <mergeCell ref="C1382:U1382"/>
    <mergeCell ref="V1377:X1377"/>
    <mergeCell ref="Y1377:AB1377"/>
    <mergeCell ref="AC1377:AF1377"/>
    <mergeCell ref="B1378:E1378"/>
    <mergeCell ref="F1378:H1378"/>
    <mergeCell ref="I1378:K1378"/>
    <mergeCell ref="L1378:N1378"/>
    <mergeCell ref="O1378:Q1378"/>
    <mergeCell ref="R1378:U1378"/>
    <mergeCell ref="V1378:X1378"/>
    <mergeCell ref="B1377:E1377"/>
    <mergeCell ref="F1377:H1377"/>
    <mergeCell ref="I1377:K1377"/>
    <mergeCell ref="L1377:N1377"/>
    <mergeCell ref="O1377:Q1377"/>
    <mergeCell ref="R1377:U1377"/>
    <mergeCell ref="A1406:A1407"/>
    <mergeCell ref="B1406:E1406"/>
    <mergeCell ref="F1406:K1406"/>
    <mergeCell ref="L1406:Q1406"/>
    <mergeCell ref="R1406:U1406"/>
    <mergeCell ref="B1407:E1407"/>
    <mergeCell ref="F1407:H1407"/>
    <mergeCell ref="AC1390:AF1390"/>
    <mergeCell ref="B1392:U1392"/>
    <mergeCell ref="C1393:U1393"/>
    <mergeCell ref="C1394:U1394"/>
    <mergeCell ref="C1395:U1395"/>
    <mergeCell ref="C1396:U1396"/>
    <mergeCell ref="Y1389:AB1389"/>
    <mergeCell ref="AC1389:AF1389"/>
    <mergeCell ref="B1390:E1390"/>
    <mergeCell ref="F1390:H1390"/>
    <mergeCell ref="I1390:K1390"/>
    <mergeCell ref="L1390:N1390"/>
    <mergeCell ref="O1390:Q1390"/>
    <mergeCell ref="R1390:U1390"/>
    <mergeCell ref="V1390:X1390"/>
    <mergeCell ref="Y1390:AB1390"/>
    <mergeCell ref="F1389:H1389"/>
    <mergeCell ref="I1389:K1389"/>
    <mergeCell ref="L1389:N1389"/>
    <mergeCell ref="O1389:Q1389"/>
    <mergeCell ref="R1389:U1389"/>
    <mergeCell ref="V1389:X1389"/>
    <mergeCell ref="AC1407:AF1407"/>
    <mergeCell ref="B1408:E1408"/>
    <mergeCell ref="F1408:H1408"/>
    <mergeCell ref="I1408:K1408"/>
    <mergeCell ref="L1408:N1408"/>
    <mergeCell ref="O1408:Q1408"/>
    <mergeCell ref="R1408:U1408"/>
    <mergeCell ref="V1408:X1408"/>
    <mergeCell ref="Y1408:AB1408"/>
    <mergeCell ref="AC1408:AF1408"/>
    <mergeCell ref="I1407:K1407"/>
    <mergeCell ref="L1407:N1407"/>
    <mergeCell ref="O1407:Q1407"/>
    <mergeCell ref="R1407:U1407"/>
    <mergeCell ref="V1407:X1407"/>
    <mergeCell ref="Y1407:AB1407"/>
    <mergeCell ref="C1398:U1398"/>
    <mergeCell ref="C1399:U1399"/>
    <mergeCell ref="C1400:U1400"/>
    <mergeCell ref="L1420:N1420"/>
    <mergeCell ref="O1420:Q1420"/>
    <mergeCell ref="R1420:U1420"/>
    <mergeCell ref="V1420:X1420"/>
    <mergeCell ref="Y1420:AB1420"/>
    <mergeCell ref="AC1420:AF1420"/>
    <mergeCell ref="C1416:U1416"/>
    <mergeCell ref="C1417:U1417"/>
    <mergeCell ref="A1419:A1420"/>
    <mergeCell ref="B1419:E1419"/>
    <mergeCell ref="F1419:K1419"/>
    <mergeCell ref="L1419:Q1419"/>
    <mergeCell ref="R1419:U1419"/>
    <mergeCell ref="B1420:E1420"/>
    <mergeCell ref="F1420:H1420"/>
    <mergeCell ref="I1420:K1420"/>
    <mergeCell ref="B1409:U1409"/>
    <mergeCell ref="C1410:U1410"/>
    <mergeCell ref="C1411:U1411"/>
    <mergeCell ref="C1412:U1412"/>
    <mergeCell ref="C1413:U1413"/>
    <mergeCell ref="C1415:U1415"/>
    <mergeCell ref="C1425:U1425"/>
    <mergeCell ref="C1426:U1426"/>
    <mergeCell ref="B1428:U1428"/>
    <mergeCell ref="B1429:C1429"/>
    <mergeCell ref="D1429:P1429"/>
    <mergeCell ref="Q1429:U1429"/>
    <mergeCell ref="V1421:X1421"/>
    <mergeCell ref="Y1421:AB1421"/>
    <mergeCell ref="AC1421:AF1421"/>
    <mergeCell ref="B1422:U1422"/>
    <mergeCell ref="C1423:U1423"/>
    <mergeCell ref="C1424:U1424"/>
    <mergeCell ref="B1421:E1421"/>
    <mergeCell ref="F1421:H1421"/>
    <mergeCell ref="I1421:K1421"/>
    <mergeCell ref="L1421:N1421"/>
    <mergeCell ref="O1421:Q1421"/>
    <mergeCell ref="R1421:U1421"/>
    <mergeCell ref="B1434:C1434"/>
    <mergeCell ref="D1434:P1434"/>
    <mergeCell ref="Q1434:U1434"/>
    <mergeCell ref="B1435:C1435"/>
    <mergeCell ref="D1435:P1435"/>
    <mergeCell ref="Q1435:U1435"/>
    <mergeCell ref="B1432:C1432"/>
    <mergeCell ref="D1432:P1432"/>
    <mergeCell ref="Q1432:U1432"/>
    <mergeCell ref="B1433:C1433"/>
    <mergeCell ref="D1433:P1433"/>
    <mergeCell ref="Q1433:U1433"/>
    <mergeCell ref="B1430:C1430"/>
    <mergeCell ref="D1430:P1430"/>
    <mergeCell ref="Q1430:U1430"/>
    <mergeCell ref="B1431:C1431"/>
    <mergeCell ref="D1431:P1431"/>
    <mergeCell ref="Q1431:U1431"/>
    <mergeCell ref="B1440:P1440"/>
    <mergeCell ref="Q1440:U1440"/>
    <mergeCell ref="A1442:A1443"/>
    <mergeCell ref="C1442:U1442"/>
    <mergeCell ref="B1443:U1443"/>
    <mergeCell ref="B1444:U1444"/>
    <mergeCell ref="B1438:C1438"/>
    <mergeCell ref="D1438:P1438"/>
    <mergeCell ref="Q1438:U1438"/>
    <mergeCell ref="B1439:C1439"/>
    <mergeCell ref="D1439:P1439"/>
    <mergeCell ref="Q1439:U1439"/>
    <mergeCell ref="B1436:C1436"/>
    <mergeCell ref="D1436:P1436"/>
    <mergeCell ref="Q1436:U1436"/>
    <mergeCell ref="B1437:C1437"/>
    <mergeCell ref="D1437:P1437"/>
    <mergeCell ref="Q1437:U1437"/>
    <mergeCell ref="R1447:U1447"/>
    <mergeCell ref="V1447:X1447"/>
    <mergeCell ref="Y1447:AB1447"/>
    <mergeCell ref="AC1447:AF1447"/>
    <mergeCell ref="B1448:E1448"/>
    <mergeCell ref="F1448:H1448"/>
    <mergeCell ref="I1448:K1448"/>
    <mergeCell ref="L1448:N1448"/>
    <mergeCell ref="O1448:Q1448"/>
    <mergeCell ref="R1448:U1448"/>
    <mergeCell ref="A1446:A1447"/>
    <mergeCell ref="B1446:E1446"/>
    <mergeCell ref="F1446:K1446"/>
    <mergeCell ref="L1446:Q1446"/>
    <mergeCell ref="R1446:U1446"/>
    <mergeCell ref="B1447:E1447"/>
    <mergeCell ref="F1447:H1447"/>
    <mergeCell ref="I1447:K1447"/>
    <mergeCell ref="L1447:N1447"/>
    <mergeCell ref="O1447:Q1447"/>
    <mergeCell ref="L1455:N1455"/>
    <mergeCell ref="O1455:Q1455"/>
    <mergeCell ref="R1455:U1455"/>
    <mergeCell ref="V1455:X1455"/>
    <mergeCell ref="Y1455:AB1455"/>
    <mergeCell ref="AC1455:AF1455"/>
    <mergeCell ref="C1451:U1451"/>
    <mergeCell ref="C1452:U1452"/>
    <mergeCell ref="A1454:A1455"/>
    <mergeCell ref="B1454:E1454"/>
    <mergeCell ref="F1454:K1454"/>
    <mergeCell ref="L1454:Q1454"/>
    <mergeCell ref="R1454:U1454"/>
    <mergeCell ref="B1455:E1455"/>
    <mergeCell ref="F1455:H1455"/>
    <mergeCell ref="I1455:K1455"/>
    <mergeCell ref="V1448:X1448"/>
    <mergeCell ref="Y1448:AB1448"/>
    <mergeCell ref="AC1448:AF1448"/>
    <mergeCell ref="B1449:M1449"/>
    <mergeCell ref="N1449:U1449"/>
    <mergeCell ref="C1450:U1450"/>
    <mergeCell ref="C1460:U1460"/>
    <mergeCell ref="C1461:U1461"/>
    <mergeCell ref="C1463:U1463"/>
    <mergeCell ref="C1464:U1464"/>
    <mergeCell ref="C1465:U1465"/>
    <mergeCell ref="A1467:A1468"/>
    <mergeCell ref="B1467:E1467"/>
    <mergeCell ref="F1467:K1467"/>
    <mergeCell ref="L1467:Q1467"/>
    <mergeCell ref="R1467:U1467"/>
    <mergeCell ref="V1456:X1456"/>
    <mergeCell ref="Y1456:AB1456"/>
    <mergeCell ref="AC1456:AF1456"/>
    <mergeCell ref="B1457:U1457"/>
    <mergeCell ref="C1458:U1458"/>
    <mergeCell ref="C1459:U1459"/>
    <mergeCell ref="B1456:E1456"/>
    <mergeCell ref="F1456:H1456"/>
    <mergeCell ref="I1456:K1456"/>
    <mergeCell ref="L1456:N1456"/>
    <mergeCell ref="O1456:Q1456"/>
    <mergeCell ref="R1456:U1456"/>
    <mergeCell ref="C1474:U1474"/>
    <mergeCell ref="C1476:U1476"/>
    <mergeCell ref="C1477:U1477"/>
    <mergeCell ref="C1479:U1479"/>
    <mergeCell ref="A1481:A1482"/>
    <mergeCell ref="B1481:E1481"/>
    <mergeCell ref="F1481:K1481"/>
    <mergeCell ref="L1481:Q1481"/>
    <mergeCell ref="R1481:U1481"/>
    <mergeCell ref="B1482:E1482"/>
    <mergeCell ref="Y1469:AB1469"/>
    <mergeCell ref="AC1469:AF1469"/>
    <mergeCell ref="B1470:U1470"/>
    <mergeCell ref="C1471:U1471"/>
    <mergeCell ref="C1472:U1472"/>
    <mergeCell ref="C1473:U1473"/>
    <mergeCell ref="V1468:X1468"/>
    <mergeCell ref="Y1468:AB1468"/>
    <mergeCell ref="AC1468:AF1468"/>
    <mergeCell ref="B1469:E1469"/>
    <mergeCell ref="F1469:H1469"/>
    <mergeCell ref="I1469:K1469"/>
    <mergeCell ref="L1469:N1469"/>
    <mergeCell ref="O1469:Q1469"/>
    <mergeCell ref="R1469:U1469"/>
    <mergeCell ref="V1469:X1469"/>
    <mergeCell ref="B1468:E1468"/>
    <mergeCell ref="F1468:H1468"/>
    <mergeCell ref="I1468:K1468"/>
    <mergeCell ref="L1468:N1468"/>
    <mergeCell ref="O1468:Q1468"/>
    <mergeCell ref="R1468:U1468"/>
    <mergeCell ref="A1494:A1495"/>
    <mergeCell ref="B1494:E1494"/>
    <mergeCell ref="F1494:K1494"/>
    <mergeCell ref="L1494:Q1494"/>
    <mergeCell ref="R1494:U1494"/>
    <mergeCell ref="B1495:E1495"/>
    <mergeCell ref="F1495:H1495"/>
    <mergeCell ref="AC1483:AF1483"/>
    <mergeCell ref="B1484:U1484"/>
    <mergeCell ref="C1485:U1485"/>
    <mergeCell ref="C1486:U1486"/>
    <mergeCell ref="C1487:U1487"/>
    <mergeCell ref="C1488:U1488"/>
    <mergeCell ref="Y1482:AB1482"/>
    <mergeCell ref="AC1482:AF1482"/>
    <mergeCell ref="B1483:E1483"/>
    <mergeCell ref="F1483:H1483"/>
    <mergeCell ref="I1483:K1483"/>
    <mergeCell ref="L1483:N1483"/>
    <mergeCell ref="O1483:Q1483"/>
    <mergeCell ref="R1483:U1483"/>
    <mergeCell ref="V1483:X1483"/>
    <mergeCell ref="Y1483:AB1483"/>
    <mergeCell ref="F1482:H1482"/>
    <mergeCell ref="I1482:K1482"/>
    <mergeCell ref="L1482:N1482"/>
    <mergeCell ref="O1482:Q1482"/>
    <mergeCell ref="R1482:U1482"/>
    <mergeCell ref="V1482:X1482"/>
    <mergeCell ref="AC1495:AF1495"/>
    <mergeCell ref="B1496:E1496"/>
    <mergeCell ref="F1496:H1496"/>
    <mergeCell ref="I1496:K1496"/>
    <mergeCell ref="L1496:N1496"/>
    <mergeCell ref="O1496:Q1496"/>
    <mergeCell ref="R1496:U1496"/>
    <mergeCell ref="V1496:X1496"/>
    <mergeCell ref="Y1496:AB1496"/>
    <mergeCell ref="AC1496:AF1496"/>
    <mergeCell ref="I1495:K1495"/>
    <mergeCell ref="L1495:N1495"/>
    <mergeCell ref="O1495:Q1495"/>
    <mergeCell ref="R1495:U1495"/>
    <mergeCell ref="V1495:X1495"/>
    <mergeCell ref="Y1495:AB1495"/>
    <mergeCell ref="C1490:U1490"/>
    <mergeCell ref="C1491:U1491"/>
    <mergeCell ref="C1492:U1492"/>
    <mergeCell ref="L1508:N1508"/>
    <mergeCell ref="O1508:Q1508"/>
    <mergeCell ref="R1508:U1508"/>
    <mergeCell ref="V1508:X1508"/>
    <mergeCell ref="Y1508:AB1508"/>
    <mergeCell ref="AC1508:AF1508"/>
    <mergeCell ref="C1504:U1504"/>
    <mergeCell ref="C1505:U1505"/>
    <mergeCell ref="A1507:A1508"/>
    <mergeCell ref="B1507:E1507"/>
    <mergeCell ref="F1507:K1507"/>
    <mergeCell ref="L1507:Q1507"/>
    <mergeCell ref="R1507:U1507"/>
    <mergeCell ref="B1508:E1508"/>
    <mergeCell ref="F1508:H1508"/>
    <mergeCell ref="I1508:K1508"/>
    <mergeCell ref="B1497:U1497"/>
    <mergeCell ref="C1498:U1498"/>
    <mergeCell ref="C1499:U1499"/>
    <mergeCell ref="C1500:U1500"/>
    <mergeCell ref="C1501:U1501"/>
    <mergeCell ref="C1503:U1503"/>
    <mergeCell ref="C1513:U1513"/>
    <mergeCell ref="C1514:U1514"/>
    <mergeCell ref="C1517:U1517"/>
    <mergeCell ref="C1518:U1518"/>
    <mergeCell ref="C1519:U1519"/>
    <mergeCell ref="A1521:A1522"/>
    <mergeCell ref="B1521:E1521"/>
    <mergeCell ref="F1521:K1521"/>
    <mergeCell ref="L1521:Q1521"/>
    <mergeCell ref="R1521:U1521"/>
    <mergeCell ref="V1509:X1509"/>
    <mergeCell ref="Y1509:AB1509"/>
    <mergeCell ref="AC1509:AF1509"/>
    <mergeCell ref="B1510:U1510"/>
    <mergeCell ref="C1511:U1511"/>
    <mergeCell ref="C1512:U1512"/>
    <mergeCell ref="B1509:E1509"/>
    <mergeCell ref="F1509:H1509"/>
    <mergeCell ref="I1509:K1509"/>
    <mergeCell ref="L1509:N1509"/>
    <mergeCell ref="O1509:Q1509"/>
    <mergeCell ref="R1509:U1509"/>
    <mergeCell ref="C1528:U1528"/>
    <mergeCell ref="C1530:U1530"/>
    <mergeCell ref="C1531:U1531"/>
    <mergeCell ref="C1532:U1532"/>
    <mergeCell ref="A1534:A1535"/>
    <mergeCell ref="B1534:E1534"/>
    <mergeCell ref="F1534:K1534"/>
    <mergeCell ref="L1534:Q1534"/>
    <mergeCell ref="R1534:U1534"/>
    <mergeCell ref="B1535:E1535"/>
    <mergeCell ref="Y1523:AB1523"/>
    <mergeCell ref="AC1523:AF1523"/>
    <mergeCell ref="B1524:U1524"/>
    <mergeCell ref="C1525:U1525"/>
    <mergeCell ref="C1526:U1526"/>
    <mergeCell ref="C1527:U1527"/>
    <mergeCell ref="V1522:X1522"/>
    <mergeCell ref="Y1522:AB1522"/>
    <mergeCell ref="AC1522:AF1522"/>
    <mergeCell ref="B1523:E1523"/>
    <mergeCell ref="F1523:H1523"/>
    <mergeCell ref="I1523:K1523"/>
    <mergeCell ref="L1523:N1523"/>
    <mergeCell ref="O1523:Q1523"/>
    <mergeCell ref="R1523:U1523"/>
    <mergeCell ref="V1523:X1523"/>
    <mergeCell ref="B1522:E1522"/>
    <mergeCell ref="F1522:H1522"/>
    <mergeCell ref="I1522:K1522"/>
    <mergeCell ref="L1522:N1522"/>
    <mergeCell ref="O1522:Q1522"/>
    <mergeCell ref="R1522:U1522"/>
    <mergeCell ref="C1543:U1543"/>
    <mergeCell ref="C1544:U1544"/>
    <mergeCell ref="C1545:U1545"/>
    <mergeCell ref="A1547:A1548"/>
    <mergeCell ref="B1547:E1547"/>
    <mergeCell ref="F1547:K1547"/>
    <mergeCell ref="L1547:Q1547"/>
    <mergeCell ref="R1547:U1547"/>
    <mergeCell ref="B1548:E1548"/>
    <mergeCell ref="F1548:H1548"/>
    <mergeCell ref="AC1536:AF1536"/>
    <mergeCell ref="B1537:U1537"/>
    <mergeCell ref="C1538:U1538"/>
    <mergeCell ref="C1539:U1539"/>
    <mergeCell ref="C1540:U1540"/>
    <mergeCell ref="C1541:U1541"/>
    <mergeCell ref="Y1535:AB1535"/>
    <mergeCell ref="AC1535:AF1535"/>
    <mergeCell ref="B1536:E1536"/>
    <mergeCell ref="F1536:H1536"/>
    <mergeCell ref="I1536:K1536"/>
    <mergeCell ref="L1536:N1536"/>
    <mergeCell ref="O1536:Q1536"/>
    <mergeCell ref="R1536:U1536"/>
    <mergeCell ref="V1536:X1536"/>
    <mergeCell ref="Y1536:AB1536"/>
    <mergeCell ref="F1535:H1535"/>
    <mergeCell ref="I1535:K1535"/>
    <mergeCell ref="L1535:N1535"/>
    <mergeCell ref="O1535:Q1535"/>
    <mergeCell ref="R1535:U1535"/>
    <mergeCell ref="V1535:X1535"/>
    <mergeCell ref="A1563:A1565"/>
    <mergeCell ref="C1563:T1563"/>
    <mergeCell ref="C1564:U1564"/>
    <mergeCell ref="C1565:U1565"/>
    <mergeCell ref="A1568:A1569"/>
    <mergeCell ref="B1568:E1568"/>
    <mergeCell ref="F1568:K1568"/>
    <mergeCell ref="L1568:Q1568"/>
    <mergeCell ref="R1568:U1568"/>
    <mergeCell ref="B1569:E1569"/>
    <mergeCell ref="B1555:U1555"/>
    <mergeCell ref="C1556:U1556"/>
    <mergeCell ref="C1557:U1557"/>
    <mergeCell ref="C1558:U1558"/>
    <mergeCell ref="C1559:U1559"/>
    <mergeCell ref="B1561:U1561"/>
    <mergeCell ref="AC1548:AF1548"/>
    <mergeCell ref="B1549:E1549"/>
    <mergeCell ref="F1549:H1549"/>
    <mergeCell ref="I1549:K1549"/>
    <mergeCell ref="L1549:N1549"/>
    <mergeCell ref="O1549:Q1549"/>
    <mergeCell ref="R1549:U1549"/>
    <mergeCell ref="V1549:X1549"/>
    <mergeCell ref="Y1549:AB1549"/>
    <mergeCell ref="AC1549:AF1549"/>
    <mergeCell ref="I1548:K1548"/>
    <mergeCell ref="L1548:N1548"/>
    <mergeCell ref="O1548:Q1548"/>
    <mergeCell ref="R1548:U1548"/>
    <mergeCell ref="V1548:X1548"/>
    <mergeCell ref="Y1548:AB1548"/>
    <mergeCell ref="AC1570:AF1570"/>
    <mergeCell ref="B1571:M1571"/>
    <mergeCell ref="N1571:U1571"/>
    <mergeCell ref="B1572:U1572"/>
    <mergeCell ref="A1574:A1576"/>
    <mergeCell ref="C1574:U1574"/>
    <mergeCell ref="C1575:U1575"/>
    <mergeCell ref="C1576:U1576"/>
    <mergeCell ref="Y1569:AB1569"/>
    <mergeCell ref="AC1569:AF1569"/>
    <mergeCell ref="B1570:E1570"/>
    <mergeCell ref="F1570:H1570"/>
    <mergeCell ref="I1570:K1570"/>
    <mergeCell ref="L1570:N1570"/>
    <mergeCell ref="O1570:Q1570"/>
    <mergeCell ref="R1570:U1570"/>
    <mergeCell ref="V1570:X1570"/>
    <mergeCell ref="Y1570:AB1570"/>
    <mergeCell ref="F1569:H1569"/>
    <mergeCell ref="I1569:K1569"/>
    <mergeCell ref="L1569:N1569"/>
    <mergeCell ref="O1569:Q1569"/>
    <mergeCell ref="R1569:U1569"/>
    <mergeCell ref="V1569:X1569"/>
    <mergeCell ref="O1580:Q1580"/>
    <mergeCell ref="R1580:U1580"/>
    <mergeCell ref="V1580:X1580"/>
    <mergeCell ref="Y1580:AB1580"/>
    <mergeCell ref="AC1580:AF1580"/>
    <mergeCell ref="B1581:E1581"/>
    <mergeCell ref="F1581:H1581"/>
    <mergeCell ref="I1581:K1581"/>
    <mergeCell ref="L1581:N1581"/>
    <mergeCell ref="O1581:Q1581"/>
    <mergeCell ref="C1577:U1577"/>
    <mergeCell ref="A1579:A1580"/>
    <mergeCell ref="B1579:E1579"/>
    <mergeCell ref="F1579:K1579"/>
    <mergeCell ref="L1579:Q1579"/>
    <mergeCell ref="R1579:U1579"/>
    <mergeCell ref="B1580:E1580"/>
    <mergeCell ref="F1580:H1580"/>
    <mergeCell ref="I1580:K1580"/>
    <mergeCell ref="L1580:N1580"/>
    <mergeCell ref="C1586:I1586"/>
    <mergeCell ref="J1586:M1586"/>
    <mergeCell ref="N1586:Q1586"/>
    <mergeCell ref="R1586:U1586"/>
    <mergeCell ref="C1587:I1587"/>
    <mergeCell ref="J1587:M1587"/>
    <mergeCell ref="N1587:Q1587"/>
    <mergeCell ref="R1587:U1587"/>
    <mergeCell ref="R1581:U1581"/>
    <mergeCell ref="V1581:X1581"/>
    <mergeCell ref="Y1581:AB1581"/>
    <mergeCell ref="AC1581:AF1581"/>
    <mergeCell ref="B1584:U1584"/>
    <mergeCell ref="C1585:I1585"/>
    <mergeCell ref="J1585:M1585"/>
    <mergeCell ref="N1585:Q1585"/>
    <mergeCell ref="R1585:U1585"/>
    <mergeCell ref="C1596:U1596"/>
    <mergeCell ref="C1598:U1598"/>
    <mergeCell ref="C1599:U1599"/>
    <mergeCell ref="A1601:A1602"/>
    <mergeCell ref="B1601:E1601"/>
    <mergeCell ref="F1601:K1601"/>
    <mergeCell ref="L1601:Q1601"/>
    <mergeCell ref="R1601:U1601"/>
    <mergeCell ref="B1602:E1602"/>
    <mergeCell ref="F1602:H1602"/>
    <mergeCell ref="B1590:I1590"/>
    <mergeCell ref="J1590:M1590"/>
    <mergeCell ref="N1590:Q1590"/>
    <mergeCell ref="R1590:U1590"/>
    <mergeCell ref="B1592:U1592"/>
    <mergeCell ref="C1594:U1594"/>
    <mergeCell ref="C1588:I1588"/>
    <mergeCell ref="J1588:M1588"/>
    <mergeCell ref="N1588:Q1588"/>
    <mergeCell ref="R1588:U1588"/>
    <mergeCell ref="C1589:I1589"/>
    <mergeCell ref="J1589:M1589"/>
    <mergeCell ref="N1589:Q1589"/>
    <mergeCell ref="R1589:U1589"/>
    <mergeCell ref="B1604:U1604"/>
    <mergeCell ref="B1605:U1605"/>
    <mergeCell ref="B1606:U1606"/>
    <mergeCell ref="B1607:U1607"/>
    <mergeCell ref="A1608:A1609"/>
    <mergeCell ref="C1608:U1608"/>
    <mergeCell ref="C1609:U1609"/>
    <mergeCell ref="I1602:K1602"/>
    <mergeCell ref="L1602:N1602"/>
    <mergeCell ref="O1602:Q1602"/>
    <mergeCell ref="R1602:U1602"/>
    <mergeCell ref="B1603:E1603"/>
    <mergeCell ref="F1603:H1603"/>
    <mergeCell ref="I1603:K1603"/>
    <mergeCell ref="L1603:N1603"/>
    <mergeCell ref="O1603:Q1603"/>
    <mergeCell ref="R1603:U1603"/>
    <mergeCell ref="Y1614:AB1614"/>
    <mergeCell ref="AC1614:AF1614"/>
    <mergeCell ref="C1615:U1615"/>
    <mergeCell ref="C1616:K1616"/>
    <mergeCell ref="L1616:N1616"/>
    <mergeCell ref="O1616:Q1616"/>
    <mergeCell ref="R1613:U1613"/>
    <mergeCell ref="V1613:X1613"/>
    <mergeCell ref="Y1613:AB1613"/>
    <mergeCell ref="AC1613:AF1613"/>
    <mergeCell ref="B1614:E1614"/>
    <mergeCell ref="F1614:H1614"/>
    <mergeCell ref="I1614:K1614"/>
    <mergeCell ref="L1614:N1614"/>
    <mergeCell ref="O1614:Q1614"/>
    <mergeCell ref="R1614:U1614"/>
    <mergeCell ref="A1612:A1613"/>
    <mergeCell ref="B1612:E1612"/>
    <mergeCell ref="F1612:K1612"/>
    <mergeCell ref="L1612:Q1612"/>
    <mergeCell ref="R1612:U1612"/>
    <mergeCell ref="B1613:E1613"/>
    <mergeCell ref="F1613:H1613"/>
    <mergeCell ref="I1613:K1613"/>
    <mergeCell ref="L1613:N1613"/>
    <mergeCell ref="O1613:Q1613"/>
    <mergeCell ref="F1625:H1625"/>
    <mergeCell ref="I1625:K1625"/>
    <mergeCell ref="L1625:N1625"/>
    <mergeCell ref="O1625:Q1625"/>
    <mergeCell ref="C1619:K1619"/>
    <mergeCell ref="L1619:N1619"/>
    <mergeCell ref="O1619:Q1619"/>
    <mergeCell ref="C1620:U1620"/>
    <mergeCell ref="C1621:U1621"/>
    <mergeCell ref="C1622:U1622"/>
    <mergeCell ref="C1617:K1617"/>
    <mergeCell ref="L1617:N1617"/>
    <mergeCell ref="O1617:Q1617"/>
    <mergeCell ref="C1618:K1618"/>
    <mergeCell ref="L1618:N1618"/>
    <mergeCell ref="O1618:Q1618"/>
    <mergeCell ref="V1614:X1614"/>
    <mergeCell ref="C1630:U1630"/>
    <mergeCell ref="C1631:U1631"/>
    <mergeCell ref="C1632:U1632"/>
    <mergeCell ref="C1633:U1633"/>
    <mergeCell ref="C1634:U1634"/>
    <mergeCell ref="A1636:A1637"/>
    <mergeCell ref="B1636:E1636"/>
    <mergeCell ref="F1636:K1636"/>
    <mergeCell ref="L1636:Q1636"/>
    <mergeCell ref="R1636:U1636"/>
    <mergeCell ref="V1626:X1626"/>
    <mergeCell ref="Y1626:AB1626"/>
    <mergeCell ref="AC1626:AF1626"/>
    <mergeCell ref="C1627:U1627"/>
    <mergeCell ref="C1628:U1628"/>
    <mergeCell ref="C1629:U1629"/>
    <mergeCell ref="R1625:U1625"/>
    <mergeCell ref="V1625:X1625"/>
    <mergeCell ref="Y1625:AB1625"/>
    <mergeCell ref="AC1625:AF1625"/>
    <mergeCell ref="B1626:E1626"/>
    <mergeCell ref="F1626:H1626"/>
    <mergeCell ref="I1626:K1626"/>
    <mergeCell ref="L1626:N1626"/>
    <mergeCell ref="O1626:Q1626"/>
    <mergeCell ref="R1626:U1626"/>
    <mergeCell ref="A1624:A1625"/>
    <mergeCell ref="B1624:E1624"/>
    <mergeCell ref="F1624:K1624"/>
    <mergeCell ref="L1624:Q1624"/>
    <mergeCell ref="R1624:U1624"/>
    <mergeCell ref="B1625:E1625"/>
    <mergeCell ref="C1645:U1645"/>
    <mergeCell ref="B1646:U1646"/>
    <mergeCell ref="B1647:M1647"/>
    <mergeCell ref="N1647:U1647"/>
    <mergeCell ref="B1648:M1648"/>
    <mergeCell ref="N1648:U1648"/>
    <mergeCell ref="Y1638:AB1638"/>
    <mergeCell ref="AC1638:AF1638"/>
    <mergeCell ref="C1641:U1641"/>
    <mergeCell ref="C1642:U1642"/>
    <mergeCell ref="C1643:U1643"/>
    <mergeCell ref="C1644:U1644"/>
    <mergeCell ref="V1637:X1637"/>
    <mergeCell ref="Y1637:AB1637"/>
    <mergeCell ref="AC1637:AF1637"/>
    <mergeCell ref="B1638:E1638"/>
    <mergeCell ref="F1638:H1638"/>
    <mergeCell ref="I1638:K1638"/>
    <mergeCell ref="L1638:N1638"/>
    <mergeCell ref="O1638:Q1638"/>
    <mergeCell ref="R1638:U1638"/>
    <mergeCell ref="V1638:X1638"/>
    <mergeCell ref="B1637:E1637"/>
    <mergeCell ref="F1637:H1637"/>
    <mergeCell ref="I1637:K1637"/>
    <mergeCell ref="L1637:N1637"/>
    <mergeCell ref="O1637:Q1637"/>
    <mergeCell ref="R1637:U1637"/>
    <mergeCell ref="B1656:U1656"/>
    <mergeCell ref="B1657:U1657"/>
    <mergeCell ref="B1658:U1658"/>
    <mergeCell ref="A1660:A1661"/>
    <mergeCell ref="B1660:E1660"/>
    <mergeCell ref="F1660:K1660"/>
    <mergeCell ref="L1660:Q1660"/>
    <mergeCell ref="R1660:U1660"/>
    <mergeCell ref="B1661:E1661"/>
    <mergeCell ref="F1661:H1661"/>
    <mergeCell ref="B1652:M1652"/>
    <mergeCell ref="N1652:U1652"/>
    <mergeCell ref="B1653:M1653"/>
    <mergeCell ref="N1653:U1653"/>
    <mergeCell ref="B1654:M1654"/>
    <mergeCell ref="N1654:U1654"/>
    <mergeCell ref="B1649:M1649"/>
    <mergeCell ref="N1649:U1649"/>
    <mergeCell ref="B1650:M1650"/>
    <mergeCell ref="N1650:U1650"/>
    <mergeCell ref="B1651:M1651"/>
    <mergeCell ref="N1651:U1651"/>
    <mergeCell ref="C1669:U1669"/>
    <mergeCell ref="C1671:U1671"/>
    <mergeCell ref="C1673:M1673"/>
    <mergeCell ref="N1673:U1673"/>
    <mergeCell ref="C1674:M1674"/>
    <mergeCell ref="N1674:U1674"/>
    <mergeCell ref="B1663:M1663"/>
    <mergeCell ref="N1663:U1663"/>
    <mergeCell ref="B1664:U1664"/>
    <mergeCell ref="V1664:AE1664"/>
    <mergeCell ref="C1666:U1666"/>
    <mergeCell ref="C1667:U1667"/>
    <mergeCell ref="AC1661:AF1661"/>
    <mergeCell ref="B1662:E1662"/>
    <mergeCell ref="F1662:H1662"/>
    <mergeCell ref="I1662:K1662"/>
    <mergeCell ref="L1662:N1662"/>
    <mergeCell ref="O1662:Q1662"/>
    <mergeCell ref="R1662:U1662"/>
    <mergeCell ref="V1662:X1662"/>
    <mergeCell ref="Y1662:AB1662"/>
    <mergeCell ref="AC1662:AF1662"/>
    <mergeCell ref="I1661:K1661"/>
    <mergeCell ref="L1661:N1661"/>
    <mergeCell ref="O1661:Q1661"/>
    <mergeCell ref="R1661:U1661"/>
    <mergeCell ref="V1661:X1661"/>
    <mergeCell ref="Y1661:AB1661"/>
    <mergeCell ref="C1682:U1682"/>
    <mergeCell ref="C1683:U1683"/>
    <mergeCell ref="C1684:U1684"/>
    <mergeCell ref="A1686:A1687"/>
    <mergeCell ref="B1686:E1686"/>
    <mergeCell ref="F1686:K1686"/>
    <mergeCell ref="L1686:Q1686"/>
    <mergeCell ref="R1686:U1686"/>
    <mergeCell ref="B1687:E1687"/>
    <mergeCell ref="F1687:H1687"/>
    <mergeCell ref="C1678:M1678"/>
    <mergeCell ref="N1678:U1678"/>
    <mergeCell ref="C1679:M1679"/>
    <mergeCell ref="N1679:U1679"/>
    <mergeCell ref="B1680:M1680"/>
    <mergeCell ref="N1680:U1680"/>
    <mergeCell ref="C1675:M1675"/>
    <mergeCell ref="N1675:U1675"/>
    <mergeCell ref="C1676:M1676"/>
    <mergeCell ref="N1676:U1676"/>
    <mergeCell ref="C1677:M1677"/>
    <mergeCell ref="N1677:U1677"/>
    <mergeCell ref="V1689:X1689"/>
    <mergeCell ref="Y1689:AB1689"/>
    <mergeCell ref="AC1689:AF1689"/>
    <mergeCell ref="B1690:E1690"/>
    <mergeCell ref="F1690:H1690"/>
    <mergeCell ref="I1690:K1690"/>
    <mergeCell ref="L1690:N1690"/>
    <mergeCell ref="O1690:Q1690"/>
    <mergeCell ref="R1690:U1690"/>
    <mergeCell ref="V1690:X1690"/>
    <mergeCell ref="B1689:E1689"/>
    <mergeCell ref="F1689:H1689"/>
    <mergeCell ref="I1689:K1689"/>
    <mergeCell ref="L1689:N1689"/>
    <mergeCell ref="O1689:Q1689"/>
    <mergeCell ref="R1689:U1689"/>
    <mergeCell ref="AC1687:AF1687"/>
    <mergeCell ref="B1688:E1688"/>
    <mergeCell ref="F1688:H1688"/>
    <mergeCell ref="I1688:K1688"/>
    <mergeCell ref="L1688:N1688"/>
    <mergeCell ref="O1688:Q1688"/>
    <mergeCell ref="R1688:U1688"/>
    <mergeCell ref="V1688:X1688"/>
    <mergeCell ref="Y1688:AB1688"/>
    <mergeCell ref="AC1688:AF1688"/>
    <mergeCell ref="I1687:K1687"/>
    <mergeCell ref="L1687:N1687"/>
    <mergeCell ref="O1687:Q1687"/>
    <mergeCell ref="R1687:U1687"/>
    <mergeCell ref="V1687:X1687"/>
    <mergeCell ref="Y1687:AB1687"/>
    <mergeCell ref="AC1691:AF1691"/>
    <mergeCell ref="B1692:E1692"/>
    <mergeCell ref="F1692:H1692"/>
    <mergeCell ref="I1692:K1692"/>
    <mergeCell ref="L1692:N1692"/>
    <mergeCell ref="O1692:Q1692"/>
    <mergeCell ref="R1692:U1692"/>
    <mergeCell ref="V1692:X1692"/>
    <mergeCell ref="Y1692:AB1692"/>
    <mergeCell ref="AC1692:AF1692"/>
    <mergeCell ref="Y1690:AB1690"/>
    <mergeCell ref="AC1690:AF1690"/>
    <mergeCell ref="B1691:E1691"/>
    <mergeCell ref="F1691:H1691"/>
    <mergeCell ref="I1691:K1691"/>
    <mergeCell ref="L1691:N1691"/>
    <mergeCell ref="O1691:Q1691"/>
    <mergeCell ref="R1691:U1691"/>
    <mergeCell ref="V1691:X1691"/>
    <mergeCell ref="Y1691:AB1691"/>
    <mergeCell ref="Y1694:AB1694"/>
    <mergeCell ref="AC1694:AF1694"/>
    <mergeCell ref="B1695:E1695"/>
    <mergeCell ref="F1695:H1695"/>
    <mergeCell ref="I1695:K1695"/>
    <mergeCell ref="L1695:N1695"/>
    <mergeCell ref="O1695:Q1695"/>
    <mergeCell ref="R1695:U1695"/>
    <mergeCell ref="V1695:X1695"/>
    <mergeCell ref="Y1695:AB1695"/>
    <mergeCell ref="V1709:X1709"/>
    <mergeCell ref="Y1709:AB1709"/>
    <mergeCell ref="AC1709:AF1709"/>
    <mergeCell ref="V1693:X1693"/>
    <mergeCell ref="Y1693:AB1693"/>
    <mergeCell ref="AC1693:AF1693"/>
    <mergeCell ref="B1694:E1694"/>
    <mergeCell ref="F1694:H1694"/>
    <mergeCell ref="I1694:K1694"/>
    <mergeCell ref="L1694:N1694"/>
    <mergeCell ref="O1694:Q1694"/>
    <mergeCell ref="R1694:U1694"/>
    <mergeCell ref="V1694:X1694"/>
    <mergeCell ref="B1693:E1693"/>
    <mergeCell ref="F1693:H1693"/>
    <mergeCell ref="I1693:K1693"/>
    <mergeCell ref="L1693:N1693"/>
    <mergeCell ref="O1693:Q1693"/>
    <mergeCell ref="R1693:U1693"/>
    <mergeCell ref="B1709:E1709"/>
    <mergeCell ref="F1709:H1709"/>
    <mergeCell ref="I1709:K1709"/>
    <mergeCell ref="L1709:N1709"/>
    <mergeCell ref="O1709:Q1709"/>
    <mergeCell ref="R1709:U1709"/>
    <mergeCell ref="C1698:U1698"/>
    <mergeCell ref="C1703:U1703"/>
    <mergeCell ref="C1704:U1704"/>
    <mergeCell ref="C1705:U1705"/>
    <mergeCell ref="C1706:U1706"/>
    <mergeCell ref="A1708:A1709"/>
    <mergeCell ref="B1708:E1708"/>
    <mergeCell ref="F1708:K1708"/>
    <mergeCell ref="L1708:Q1708"/>
    <mergeCell ref="R1708:U1708"/>
    <mergeCell ref="AC1695:AF1695"/>
    <mergeCell ref="B1696:E1696"/>
    <mergeCell ref="F1696:H1696"/>
    <mergeCell ref="I1696:K1696"/>
    <mergeCell ref="L1696:N1696"/>
    <mergeCell ref="O1696:Q1696"/>
    <mergeCell ref="R1696:U1696"/>
    <mergeCell ref="V1696:X1696"/>
    <mergeCell ref="Y1696:AB1696"/>
    <mergeCell ref="AC1696:AF1696"/>
    <mergeCell ref="AC1711:AF1711"/>
    <mergeCell ref="B1712:E1712"/>
    <mergeCell ref="F1712:H1712"/>
    <mergeCell ref="I1712:K1712"/>
    <mergeCell ref="L1712:N1712"/>
    <mergeCell ref="O1712:Q1712"/>
    <mergeCell ref="R1712:U1712"/>
    <mergeCell ref="V1712:X1712"/>
    <mergeCell ref="Y1712:AB1712"/>
    <mergeCell ref="AC1712:AF1712"/>
    <mergeCell ref="Y1710:AB1710"/>
    <mergeCell ref="AC1710:AF1710"/>
    <mergeCell ref="B1711:E1711"/>
    <mergeCell ref="F1711:H1711"/>
    <mergeCell ref="I1711:K1711"/>
    <mergeCell ref="L1711:N1711"/>
    <mergeCell ref="O1711:Q1711"/>
    <mergeCell ref="R1711:U1711"/>
    <mergeCell ref="V1711:X1711"/>
    <mergeCell ref="Y1711:AB1711"/>
    <mergeCell ref="B1710:E1710"/>
    <mergeCell ref="F1710:H1710"/>
    <mergeCell ref="I1710:K1710"/>
    <mergeCell ref="L1710:N1710"/>
    <mergeCell ref="O1710:Q1710"/>
    <mergeCell ref="R1710:U1710"/>
    <mergeCell ref="V1710:X1710"/>
    <mergeCell ref="Y1714:AB1714"/>
    <mergeCell ref="AC1714:AF1714"/>
    <mergeCell ref="B1715:E1715"/>
    <mergeCell ref="F1715:H1715"/>
    <mergeCell ref="I1715:K1715"/>
    <mergeCell ref="L1715:N1715"/>
    <mergeCell ref="O1715:Q1715"/>
    <mergeCell ref="R1715:U1715"/>
    <mergeCell ref="V1715:X1715"/>
    <mergeCell ref="Y1715:AB1715"/>
    <mergeCell ref="V1713:X1713"/>
    <mergeCell ref="Y1713:AB1713"/>
    <mergeCell ref="AC1713:AF1713"/>
    <mergeCell ref="B1714:E1714"/>
    <mergeCell ref="F1714:H1714"/>
    <mergeCell ref="I1714:K1714"/>
    <mergeCell ref="L1714:N1714"/>
    <mergeCell ref="O1714:Q1714"/>
    <mergeCell ref="R1714:U1714"/>
    <mergeCell ref="V1714:X1714"/>
    <mergeCell ref="B1713:E1713"/>
    <mergeCell ref="F1713:H1713"/>
    <mergeCell ref="I1713:K1713"/>
    <mergeCell ref="L1713:N1713"/>
    <mergeCell ref="O1713:Q1713"/>
    <mergeCell ref="R1713:U1713"/>
    <mergeCell ref="C1718:U1718"/>
    <mergeCell ref="C1719:U1719"/>
    <mergeCell ref="C1720:U1720"/>
    <mergeCell ref="A1725:A1726"/>
    <mergeCell ref="B1725:E1725"/>
    <mergeCell ref="F1725:K1725"/>
    <mergeCell ref="L1725:Q1725"/>
    <mergeCell ref="R1725:U1725"/>
    <mergeCell ref="B1726:E1726"/>
    <mergeCell ref="F1726:H1726"/>
    <mergeCell ref="AC1715:AF1715"/>
    <mergeCell ref="B1716:E1716"/>
    <mergeCell ref="F1716:H1716"/>
    <mergeCell ref="I1716:K1716"/>
    <mergeCell ref="L1716:N1716"/>
    <mergeCell ref="O1716:Q1716"/>
    <mergeCell ref="R1716:U1716"/>
    <mergeCell ref="V1716:X1716"/>
    <mergeCell ref="Y1716:AB1716"/>
    <mergeCell ref="AC1716:AF1716"/>
    <mergeCell ref="V1728:X1728"/>
    <mergeCell ref="Y1728:AB1728"/>
    <mergeCell ref="AC1728:AF1728"/>
    <mergeCell ref="B1729:E1729"/>
    <mergeCell ref="F1729:H1729"/>
    <mergeCell ref="I1729:K1729"/>
    <mergeCell ref="L1729:N1729"/>
    <mergeCell ref="O1729:Q1729"/>
    <mergeCell ref="R1729:U1729"/>
    <mergeCell ref="V1729:X1729"/>
    <mergeCell ref="B1728:E1728"/>
    <mergeCell ref="F1728:H1728"/>
    <mergeCell ref="I1728:K1728"/>
    <mergeCell ref="L1728:N1728"/>
    <mergeCell ref="O1728:Q1728"/>
    <mergeCell ref="R1728:U1728"/>
    <mergeCell ref="AC1726:AF1726"/>
    <mergeCell ref="B1727:E1727"/>
    <mergeCell ref="F1727:H1727"/>
    <mergeCell ref="I1727:K1727"/>
    <mergeCell ref="L1727:N1727"/>
    <mergeCell ref="O1727:Q1727"/>
    <mergeCell ref="R1727:U1727"/>
    <mergeCell ref="V1727:X1727"/>
    <mergeCell ref="Y1727:AB1727"/>
    <mergeCell ref="AC1727:AF1727"/>
    <mergeCell ref="I1726:K1726"/>
    <mergeCell ref="L1726:N1726"/>
    <mergeCell ref="O1726:Q1726"/>
    <mergeCell ref="R1726:U1726"/>
    <mergeCell ref="V1726:X1726"/>
    <mergeCell ref="Y1726:AB1726"/>
    <mergeCell ref="AC1730:AF1730"/>
    <mergeCell ref="B1731:E1731"/>
    <mergeCell ref="F1731:H1731"/>
    <mergeCell ref="I1731:K1731"/>
    <mergeCell ref="L1731:N1731"/>
    <mergeCell ref="O1731:Q1731"/>
    <mergeCell ref="R1731:U1731"/>
    <mergeCell ref="V1731:X1731"/>
    <mergeCell ref="Y1731:AB1731"/>
    <mergeCell ref="AC1731:AF1731"/>
    <mergeCell ref="Y1729:AB1729"/>
    <mergeCell ref="AC1729:AF1729"/>
    <mergeCell ref="B1730:E1730"/>
    <mergeCell ref="F1730:H1730"/>
    <mergeCell ref="I1730:K1730"/>
    <mergeCell ref="L1730:N1730"/>
    <mergeCell ref="O1730:Q1730"/>
    <mergeCell ref="R1730:U1730"/>
    <mergeCell ref="V1730:X1730"/>
    <mergeCell ref="Y1730:AB1730"/>
    <mergeCell ref="A1738:A1739"/>
    <mergeCell ref="B1738:E1738"/>
    <mergeCell ref="F1738:K1738"/>
    <mergeCell ref="L1738:Q1738"/>
    <mergeCell ref="R1738:U1738"/>
    <mergeCell ref="B1739:E1739"/>
    <mergeCell ref="F1739:H1739"/>
    <mergeCell ref="V1732:X1732"/>
    <mergeCell ref="Y1732:AB1732"/>
    <mergeCell ref="AC1732:AF1732"/>
    <mergeCell ref="V1733:X1733"/>
    <mergeCell ref="Y1733:AB1733"/>
    <mergeCell ref="AC1733:AF1733"/>
    <mergeCell ref="B1732:E1732"/>
    <mergeCell ref="F1732:H1732"/>
    <mergeCell ref="I1732:K1732"/>
    <mergeCell ref="L1732:N1732"/>
    <mergeCell ref="O1732:Q1732"/>
    <mergeCell ref="R1732:U1732"/>
    <mergeCell ref="AC1739:AF1739"/>
    <mergeCell ref="B1740:E1740"/>
    <mergeCell ref="F1740:H1740"/>
    <mergeCell ref="I1740:K1740"/>
    <mergeCell ref="L1740:N1740"/>
    <mergeCell ref="O1740:Q1740"/>
    <mergeCell ref="R1740:U1740"/>
    <mergeCell ref="V1740:X1740"/>
    <mergeCell ref="Y1740:AB1740"/>
    <mergeCell ref="AC1740:AF1740"/>
    <mergeCell ref="I1739:K1739"/>
    <mergeCell ref="L1739:N1739"/>
    <mergeCell ref="O1739:Q1739"/>
    <mergeCell ref="R1739:U1739"/>
    <mergeCell ref="V1739:X1739"/>
    <mergeCell ref="Y1739:AB1739"/>
    <mergeCell ref="C1734:U1734"/>
    <mergeCell ref="C1735:U1735"/>
    <mergeCell ref="C1736:U1736"/>
    <mergeCell ref="Y1742:AB1742"/>
    <mergeCell ref="AC1742:AF1742"/>
    <mergeCell ref="B1743:E1743"/>
    <mergeCell ref="F1743:H1743"/>
    <mergeCell ref="I1743:K1743"/>
    <mergeCell ref="L1743:N1743"/>
    <mergeCell ref="O1743:Q1743"/>
    <mergeCell ref="R1743:U1743"/>
    <mergeCell ref="V1743:X1743"/>
    <mergeCell ref="Y1743:AB1743"/>
    <mergeCell ref="V1750:X1750"/>
    <mergeCell ref="Y1750:AB1750"/>
    <mergeCell ref="AC1750:AF1750"/>
    <mergeCell ref="V1741:X1741"/>
    <mergeCell ref="Y1741:AB1741"/>
    <mergeCell ref="AC1741:AF1741"/>
    <mergeCell ref="B1742:E1742"/>
    <mergeCell ref="F1742:H1742"/>
    <mergeCell ref="I1742:K1742"/>
    <mergeCell ref="L1742:N1742"/>
    <mergeCell ref="O1742:Q1742"/>
    <mergeCell ref="R1742:U1742"/>
    <mergeCell ref="V1742:X1742"/>
    <mergeCell ref="B1741:E1741"/>
    <mergeCell ref="F1741:H1741"/>
    <mergeCell ref="I1741:K1741"/>
    <mergeCell ref="L1741:N1741"/>
    <mergeCell ref="O1741:Q1741"/>
    <mergeCell ref="R1741:U1741"/>
    <mergeCell ref="B1750:E1750"/>
    <mergeCell ref="F1750:H1750"/>
    <mergeCell ref="I1750:K1750"/>
    <mergeCell ref="L1750:N1750"/>
    <mergeCell ref="O1750:Q1750"/>
    <mergeCell ref="R1750:U1750"/>
    <mergeCell ref="V1745:X1745"/>
    <mergeCell ref="Y1745:AB1745"/>
    <mergeCell ref="AC1745:AF1745"/>
    <mergeCell ref="C1746:U1746"/>
    <mergeCell ref="C1747:U1747"/>
    <mergeCell ref="A1749:A1750"/>
    <mergeCell ref="B1749:E1749"/>
    <mergeCell ref="F1749:K1749"/>
    <mergeCell ref="L1749:Q1749"/>
    <mergeCell ref="R1749:U1749"/>
    <mergeCell ref="AC1743:AF1743"/>
    <mergeCell ref="B1744:E1744"/>
    <mergeCell ref="F1744:H1744"/>
    <mergeCell ref="I1744:K1744"/>
    <mergeCell ref="L1744:N1744"/>
    <mergeCell ref="O1744:Q1744"/>
    <mergeCell ref="R1744:U1744"/>
    <mergeCell ref="V1744:X1744"/>
    <mergeCell ref="Y1744:AB1744"/>
    <mergeCell ref="AC1744:AF1744"/>
    <mergeCell ref="AC1752:AF1752"/>
    <mergeCell ref="B1753:E1753"/>
    <mergeCell ref="F1753:H1753"/>
    <mergeCell ref="I1753:K1753"/>
    <mergeCell ref="L1753:N1753"/>
    <mergeCell ref="O1753:Q1753"/>
    <mergeCell ref="R1753:U1753"/>
    <mergeCell ref="V1753:X1753"/>
    <mergeCell ref="Y1753:AB1753"/>
    <mergeCell ref="AC1753:AF1753"/>
    <mergeCell ref="Y1751:AB1751"/>
    <mergeCell ref="AC1751:AF1751"/>
    <mergeCell ref="B1752:E1752"/>
    <mergeCell ref="F1752:H1752"/>
    <mergeCell ref="I1752:K1752"/>
    <mergeCell ref="L1752:N1752"/>
    <mergeCell ref="O1752:Q1752"/>
    <mergeCell ref="R1752:U1752"/>
    <mergeCell ref="V1752:X1752"/>
    <mergeCell ref="Y1752:AB1752"/>
    <mergeCell ref="B1751:E1751"/>
    <mergeCell ref="F1751:H1751"/>
    <mergeCell ref="I1751:K1751"/>
    <mergeCell ref="L1751:N1751"/>
    <mergeCell ref="O1751:Q1751"/>
    <mergeCell ref="R1751:U1751"/>
    <mergeCell ref="V1751:X1751"/>
    <mergeCell ref="Y1755:AB1755"/>
    <mergeCell ref="AC1755:AF1755"/>
    <mergeCell ref="B1756:E1756"/>
    <mergeCell ref="F1756:H1756"/>
    <mergeCell ref="I1756:K1756"/>
    <mergeCell ref="L1756:N1756"/>
    <mergeCell ref="O1756:Q1756"/>
    <mergeCell ref="R1756:U1756"/>
    <mergeCell ref="V1756:X1756"/>
    <mergeCell ref="Y1756:AB1756"/>
    <mergeCell ref="V1754:X1754"/>
    <mergeCell ref="Y1754:AB1754"/>
    <mergeCell ref="AC1754:AF1754"/>
    <mergeCell ref="B1755:E1755"/>
    <mergeCell ref="F1755:H1755"/>
    <mergeCell ref="I1755:K1755"/>
    <mergeCell ref="L1755:N1755"/>
    <mergeCell ref="O1755:Q1755"/>
    <mergeCell ref="R1755:U1755"/>
    <mergeCell ref="V1755:X1755"/>
    <mergeCell ref="B1754:E1754"/>
    <mergeCell ref="F1754:H1754"/>
    <mergeCell ref="I1754:K1754"/>
    <mergeCell ref="L1754:N1754"/>
    <mergeCell ref="O1754:Q1754"/>
    <mergeCell ref="R1754:U1754"/>
    <mergeCell ref="C1759:U1759"/>
    <mergeCell ref="C1760:U1760"/>
    <mergeCell ref="A1762:A1763"/>
    <mergeCell ref="B1762:E1762"/>
    <mergeCell ref="F1762:K1762"/>
    <mergeCell ref="L1762:Q1762"/>
    <mergeCell ref="R1762:U1762"/>
    <mergeCell ref="B1763:E1763"/>
    <mergeCell ref="F1763:H1763"/>
    <mergeCell ref="I1763:K1763"/>
    <mergeCell ref="AC1756:AF1756"/>
    <mergeCell ref="B1757:E1757"/>
    <mergeCell ref="F1757:H1757"/>
    <mergeCell ref="I1757:K1757"/>
    <mergeCell ref="L1757:N1757"/>
    <mergeCell ref="O1757:Q1757"/>
    <mergeCell ref="R1757:U1757"/>
    <mergeCell ref="V1757:X1757"/>
    <mergeCell ref="Y1757:AB1757"/>
    <mergeCell ref="AC1757:AF1757"/>
    <mergeCell ref="V1764:X1764"/>
    <mergeCell ref="Y1764:AB1764"/>
    <mergeCell ref="AC1764:AF1764"/>
    <mergeCell ref="B1765:E1765"/>
    <mergeCell ref="F1765:H1765"/>
    <mergeCell ref="I1765:K1765"/>
    <mergeCell ref="L1765:N1765"/>
    <mergeCell ref="O1765:Q1765"/>
    <mergeCell ref="R1765:U1765"/>
    <mergeCell ref="V1765:X1765"/>
    <mergeCell ref="B1764:E1764"/>
    <mergeCell ref="F1764:H1764"/>
    <mergeCell ref="I1764:K1764"/>
    <mergeCell ref="L1764:N1764"/>
    <mergeCell ref="O1764:Q1764"/>
    <mergeCell ref="R1764:U1764"/>
    <mergeCell ref="L1763:N1763"/>
    <mergeCell ref="O1763:Q1763"/>
    <mergeCell ref="R1763:U1763"/>
    <mergeCell ref="V1763:X1763"/>
    <mergeCell ref="Y1763:AB1763"/>
    <mergeCell ref="AC1763:AF1763"/>
    <mergeCell ref="AC1766:AF1766"/>
    <mergeCell ref="B1767:E1767"/>
    <mergeCell ref="F1767:H1767"/>
    <mergeCell ref="I1767:K1767"/>
    <mergeCell ref="L1767:N1767"/>
    <mergeCell ref="O1767:Q1767"/>
    <mergeCell ref="R1767:U1767"/>
    <mergeCell ref="V1767:X1767"/>
    <mergeCell ref="Y1767:AB1767"/>
    <mergeCell ref="AC1767:AF1767"/>
    <mergeCell ref="Y1765:AB1765"/>
    <mergeCell ref="AC1765:AF1765"/>
    <mergeCell ref="B1766:E1766"/>
    <mergeCell ref="F1766:H1766"/>
    <mergeCell ref="I1766:K1766"/>
    <mergeCell ref="L1766:N1766"/>
    <mergeCell ref="O1766:Q1766"/>
    <mergeCell ref="R1766:U1766"/>
    <mergeCell ref="V1766:X1766"/>
    <mergeCell ref="Y1766:AB1766"/>
    <mergeCell ref="Y1769:AB1769"/>
    <mergeCell ref="AC1769:AF1769"/>
    <mergeCell ref="C1773:U1773"/>
    <mergeCell ref="C1774:U1774"/>
    <mergeCell ref="C1775:U1775"/>
    <mergeCell ref="C1777:U1777"/>
    <mergeCell ref="V1768:X1768"/>
    <mergeCell ref="Y1768:AB1768"/>
    <mergeCell ref="AC1768:AF1768"/>
    <mergeCell ref="B1769:E1769"/>
    <mergeCell ref="F1769:H1769"/>
    <mergeCell ref="I1769:K1769"/>
    <mergeCell ref="L1769:N1769"/>
    <mergeCell ref="O1769:Q1769"/>
    <mergeCell ref="R1769:U1769"/>
    <mergeCell ref="V1769:X1769"/>
    <mergeCell ref="B1768:E1768"/>
    <mergeCell ref="F1768:H1768"/>
    <mergeCell ref="I1768:K1768"/>
    <mergeCell ref="L1768:N1768"/>
    <mergeCell ref="O1768:Q1768"/>
    <mergeCell ref="R1768:U1768"/>
    <mergeCell ref="A1787:F1787"/>
    <mergeCell ref="G1787:L1787"/>
    <mergeCell ref="M1787:R1787"/>
    <mergeCell ref="S1787:U1787"/>
    <mergeCell ref="A1788:F1788"/>
    <mergeCell ref="G1788:L1788"/>
    <mergeCell ref="M1788:R1788"/>
    <mergeCell ref="S1788:U1788"/>
    <mergeCell ref="A1785:F1785"/>
    <mergeCell ref="G1785:L1785"/>
    <mergeCell ref="M1785:R1785"/>
    <mergeCell ref="S1785:U1785"/>
    <mergeCell ref="A1786:F1786"/>
    <mergeCell ref="G1786:L1786"/>
    <mergeCell ref="M1786:R1786"/>
    <mergeCell ref="S1786:U1786"/>
    <mergeCell ref="C1778:U1778"/>
    <mergeCell ref="C1779:U1779"/>
    <mergeCell ref="C1780:U1780"/>
    <mergeCell ref="C1781:U1781"/>
    <mergeCell ref="C1783:U1783"/>
    <mergeCell ref="A1784:F1784"/>
    <mergeCell ref="G1784:L1784"/>
    <mergeCell ref="M1784:R1784"/>
    <mergeCell ref="S1784:U1784"/>
    <mergeCell ref="A1797:I1797"/>
    <mergeCell ref="J1797:O1797"/>
    <mergeCell ref="P1797:U1797"/>
    <mergeCell ref="A1798:I1798"/>
    <mergeCell ref="J1798:O1798"/>
    <mergeCell ref="P1798:U1798"/>
    <mergeCell ref="A1795:I1795"/>
    <mergeCell ref="J1795:O1795"/>
    <mergeCell ref="P1795:U1795"/>
    <mergeCell ref="A1796:I1796"/>
    <mergeCell ref="J1796:O1796"/>
    <mergeCell ref="P1796:U1796"/>
    <mergeCell ref="C1790:U1790"/>
    <mergeCell ref="D1791:U1791"/>
    <mergeCell ref="D1792:U1792"/>
    <mergeCell ref="A1794:I1794"/>
    <mergeCell ref="J1794:O1794"/>
    <mergeCell ref="P1794:U1794"/>
    <mergeCell ref="P1809:U1809"/>
    <mergeCell ref="P1810:U1810"/>
    <mergeCell ref="P1811:U1811"/>
    <mergeCell ref="P1812:U1812"/>
    <mergeCell ref="E1813:O1813"/>
    <mergeCell ref="P1813:U1813"/>
    <mergeCell ref="P1803:U1803"/>
    <mergeCell ref="P1804:U1804"/>
    <mergeCell ref="P1805:U1805"/>
    <mergeCell ref="P1806:U1806"/>
    <mergeCell ref="P1807:U1807"/>
    <mergeCell ref="P1808:U1808"/>
    <mergeCell ref="A1799:I1799"/>
    <mergeCell ref="J1799:O1799"/>
    <mergeCell ref="P1799:U1799"/>
    <mergeCell ref="D1801:U1801"/>
    <mergeCell ref="E1802:O1802"/>
    <mergeCell ref="P1802:U1802"/>
    <mergeCell ref="P1826:U1826"/>
    <mergeCell ref="P1827:U1827"/>
    <mergeCell ref="P1828:U1828"/>
    <mergeCell ref="P1829:U1829"/>
    <mergeCell ref="P1830:U1830"/>
    <mergeCell ref="P1831:U1831"/>
    <mergeCell ref="P1820:U1820"/>
    <mergeCell ref="P1821:U1821"/>
    <mergeCell ref="P1822:U1822"/>
    <mergeCell ref="P1823:U1823"/>
    <mergeCell ref="P1824:U1824"/>
    <mergeCell ref="P1825:U1825"/>
    <mergeCell ref="P1814:U1814"/>
    <mergeCell ref="P1815:U1815"/>
    <mergeCell ref="P1816:U1816"/>
    <mergeCell ref="P1817:U1817"/>
    <mergeCell ref="P1818:U1818"/>
    <mergeCell ref="P1819:U1819"/>
    <mergeCell ref="F1843:O1843"/>
    <mergeCell ref="P1843:U1843"/>
    <mergeCell ref="P1844:U1844"/>
    <mergeCell ref="P1845:U1845"/>
    <mergeCell ref="P1846:U1846"/>
    <mergeCell ref="F1847:O1847"/>
    <mergeCell ref="P1847:U1847"/>
    <mergeCell ref="P1837:U1837"/>
    <mergeCell ref="P1838:U1838"/>
    <mergeCell ref="P1839:U1839"/>
    <mergeCell ref="P1840:U1840"/>
    <mergeCell ref="P1841:U1841"/>
    <mergeCell ref="P1842:U1842"/>
    <mergeCell ref="P1832:U1832"/>
    <mergeCell ref="P1833:U1833"/>
    <mergeCell ref="P1834:U1834"/>
    <mergeCell ref="E1835:O1835"/>
    <mergeCell ref="P1835:U1835"/>
    <mergeCell ref="E1836:O1836"/>
    <mergeCell ref="P1836:U1836"/>
    <mergeCell ref="P1859:U1859"/>
    <mergeCell ref="P1860:U1860"/>
    <mergeCell ref="P1861:U1861"/>
    <mergeCell ref="P1862:U1862"/>
    <mergeCell ref="P1863:U1863"/>
    <mergeCell ref="P1864:U1864"/>
    <mergeCell ref="P1853:U1853"/>
    <mergeCell ref="P1854:U1854"/>
    <mergeCell ref="P1855:U1855"/>
    <mergeCell ref="P1856:U1856"/>
    <mergeCell ref="P1857:U1857"/>
    <mergeCell ref="P1858:U1858"/>
    <mergeCell ref="P1848:U1848"/>
    <mergeCell ref="F1849:O1849"/>
    <mergeCell ref="P1849:U1849"/>
    <mergeCell ref="P1850:U1850"/>
    <mergeCell ref="P1851:U1851"/>
    <mergeCell ref="P1852:U1852"/>
    <mergeCell ref="P1876:U1876"/>
    <mergeCell ref="P1877:U1877"/>
    <mergeCell ref="P1878:U1878"/>
    <mergeCell ref="D1879:O1879"/>
    <mergeCell ref="P1879:U1879"/>
    <mergeCell ref="D1880:U1880"/>
    <mergeCell ref="P1870:U1870"/>
    <mergeCell ref="P1871:U1871"/>
    <mergeCell ref="P1872:U1872"/>
    <mergeCell ref="P1873:U1873"/>
    <mergeCell ref="P1874:U1874"/>
    <mergeCell ref="P1875:U1875"/>
    <mergeCell ref="F1865:O1865"/>
    <mergeCell ref="P1865:U1865"/>
    <mergeCell ref="P1866:U1866"/>
    <mergeCell ref="P1867:U1867"/>
    <mergeCell ref="P1868:U1868"/>
    <mergeCell ref="P1869:U1869"/>
    <mergeCell ref="A1889:H1889"/>
    <mergeCell ref="I1889:N1889"/>
    <mergeCell ref="O1889:U1889"/>
    <mergeCell ref="V1889:X1889"/>
    <mergeCell ref="Y1889:AB1889"/>
    <mergeCell ref="AC1889:AF1889"/>
    <mergeCell ref="E1884:M1884"/>
    <mergeCell ref="O1884:U1884"/>
    <mergeCell ref="E1885:M1885"/>
    <mergeCell ref="O1885:U1885"/>
    <mergeCell ref="D1886:U1886"/>
    <mergeCell ref="D1887:U1887"/>
    <mergeCell ref="E1881:M1881"/>
    <mergeCell ref="O1881:U1881"/>
    <mergeCell ref="E1882:M1882"/>
    <mergeCell ref="O1882:U1882"/>
    <mergeCell ref="E1883:M1883"/>
    <mergeCell ref="O1883:U1883"/>
    <mergeCell ref="AC1893:AF1893"/>
    <mergeCell ref="A1892:H1892"/>
    <mergeCell ref="I1892:N1892"/>
    <mergeCell ref="O1892:U1892"/>
    <mergeCell ref="V1892:X1892"/>
    <mergeCell ref="Y1892:AB1892"/>
    <mergeCell ref="AC1892:AF1892"/>
    <mergeCell ref="A1891:H1891"/>
    <mergeCell ref="I1891:N1891"/>
    <mergeCell ref="O1891:U1891"/>
    <mergeCell ref="V1891:X1891"/>
    <mergeCell ref="Y1891:AB1891"/>
    <mergeCell ref="AC1891:AF1891"/>
    <mergeCell ref="A1890:H1890"/>
    <mergeCell ref="I1890:N1890"/>
    <mergeCell ref="O1890:U1890"/>
    <mergeCell ref="V1890:X1890"/>
    <mergeCell ref="Y1890:AB1890"/>
    <mergeCell ref="AC1890:AF1890"/>
    <mergeCell ref="P1898:U1898"/>
    <mergeCell ref="E1899:O1899"/>
    <mergeCell ref="P1899:U1899"/>
    <mergeCell ref="P1900:U1900"/>
    <mergeCell ref="P1901:U1901"/>
    <mergeCell ref="P1902:U1902"/>
    <mergeCell ref="D1894:U1894"/>
    <mergeCell ref="E1895:O1895"/>
    <mergeCell ref="P1895:U1895"/>
    <mergeCell ref="E1896:O1896"/>
    <mergeCell ref="P1896:U1896"/>
    <mergeCell ref="P1897:U1897"/>
    <mergeCell ref="A1893:H1893"/>
    <mergeCell ref="I1893:N1893"/>
    <mergeCell ref="O1893:U1893"/>
    <mergeCell ref="V1893:X1893"/>
    <mergeCell ref="Y1893:AB1893"/>
    <mergeCell ref="P1915:U1915"/>
    <mergeCell ref="P1916:U1916"/>
    <mergeCell ref="P1917:U1917"/>
    <mergeCell ref="P1918:U1918"/>
    <mergeCell ref="P1919:U1919"/>
    <mergeCell ref="P1920:U1920"/>
    <mergeCell ref="P1909:U1909"/>
    <mergeCell ref="P1910:U1910"/>
    <mergeCell ref="P1911:U1911"/>
    <mergeCell ref="P1912:U1912"/>
    <mergeCell ref="P1913:U1913"/>
    <mergeCell ref="P1914:U1914"/>
    <mergeCell ref="P1903:U1903"/>
    <mergeCell ref="P1904:U1904"/>
    <mergeCell ref="P1905:U1905"/>
    <mergeCell ref="P1906:U1906"/>
    <mergeCell ref="P1907:U1907"/>
    <mergeCell ref="P1908:U1908"/>
    <mergeCell ref="P1933:U1933"/>
    <mergeCell ref="P1934:U1934"/>
    <mergeCell ref="P1935:U1935"/>
    <mergeCell ref="P1936:U1936"/>
    <mergeCell ref="P1937:U1937"/>
    <mergeCell ref="E1938:O1938"/>
    <mergeCell ref="P1938:U1938"/>
    <mergeCell ref="P1927:U1927"/>
    <mergeCell ref="P1928:U1928"/>
    <mergeCell ref="P1929:U1929"/>
    <mergeCell ref="P1930:U1930"/>
    <mergeCell ref="P1931:U1931"/>
    <mergeCell ref="P1932:U1932"/>
    <mergeCell ref="P1921:U1921"/>
    <mergeCell ref="P1922:U1922"/>
    <mergeCell ref="P1923:U1923"/>
    <mergeCell ref="P1924:U1924"/>
    <mergeCell ref="P1925:U1925"/>
    <mergeCell ref="P1926:U1926"/>
    <mergeCell ref="I1949:N1949"/>
    <mergeCell ref="O1949:U1949"/>
    <mergeCell ref="I1950:N1950"/>
    <mergeCell ref="O1950:U1950"/>
    <mergeCell ref="I1951:N1951"/>
    <mergeCell ref="O1951:U1951"/>
    <mergeCell ref="D1943:O1943"/>
    <mergeCell ref="P1943:U1943"/>
    <mergeCell ref="D1945:U1945"/>
    <mergeCell ref="D1946:U1946"/>
    <mergeCell ref="A1948:H1948"/>
    <mergeCell ref="I1948:N1948"/>
    <mergeCell ref="O1948:U1948"/>
    <mergeCell ref="E1939:O1939"/>
    <mergeCell ref="P1939:U1939"/>
    <mergeCell ref="E1940:O1940"/>
    <mergeCell ref="P1940:U1940"/>
    <mergeCell ref="P1941:U1941"/>
    <mergeCell ref="P1942:U1942"/>
    <mergeCell ref="P1962:U1962"/>
    <mergeCell ref="P1963:U1963"/>
    <mergeCell ref="P1964:U1964"/>
    <mergeCell ref="P1965:U1965"/>
    <mergeCell ref="P1966:U1966"/>
    <mergeCell ref="P1967:U1967"/>
    <mergeCell ref="P1956:U1956"/>
    <mergeCell ref="P1957:U1957"/>
    <mergeCell ref="P1958:U1958"/>
    <mergeCell ref="P1959:U1959"/>
    <mergeCell ref="P1960:U1960"/>
    <mergeCell ref="P1961:U1961"/>
    <mergeCell ref="A1952:H1952"/>
    <mergeCell ref="I1952:N1952"/>
    <mergeCell ref="O1952:U1952"/>
    <mergeCell ref="D1954:U1954"/>
    <mergeCell ref="E1955:O1955"/>
    <mergeCell ref="P1955:U1955"/>
    <mergeCell ref="V1980:X1980"/>
    <mergeCell ref="Y1980:AB1980"/>
    <mergeCell ref="AC1980:AF1980"/>
    <mergeCell ref="J1981:O1981"/>
    <mergeCell ref="P1981:U1981"/>
    <mergeCell ref="V1981:X1981"/>
    <mergeCell ref="Y1981:AB1981"/>
    <mergeCell ref="AC1981:AF1981"/>
    <mergeCell ref="B1975:U1975"/>
    <mergeCell ref="C1976:U1976"/>
    <mergeCell ref="C1977:U1977"/>
    <mergeCell ref="C1979:T1979"/>
    <mergeCell ref="C1980:I1980"/>
    <mergeCell ref="J1980:O1980"/>
    <mergeCell ref="P1980:U1980"/>
    <mergeCell ref="P1968:U1968"/>
    <mergeCell ref="P1969:U1969"/>
    <mergeCell ref="P1970:U1970"/>
    <mergeCell ref="P1971:U1971"/>
    <mergeCell ref="P1972:U1972"/>
    <mergeCell ref="D1973:O1973"/>
    <mergeCell ref="P1973:U1973"/>
    <mergeCell ref="J1984:O1984"/>
    <mergeCell ref="P1984:U1984"/>
    <mergeCell ref="V1984:X1984"/>
    <mergeCell ref="Y1984:AB1984"/>
    <mergeCell ref="AC1984:AF1984"/>
    <mergeCell ref="J1985:O1985"/>
    <mergeCell ref="P1985:U1985"/>
    <mergeCell ref="V1985:X1985"/>
    <mergeCell ref="Y1985:AB1985"/>
    <mergeCell ref="AC1985:AF1985"/>
    <mergeCell ref="J1982:O1982"/>
    <mergeCell ref="P1982:U1982"/>
    <mergeCell ref="V1982:X1982"/>
    <mergeCell ref="Y1982:AB1982"/>
    <mergeCell ref="AC1982:AF1982"/>
    <mergeCell ref="J1983:O1983"/>
    <mergeCell ref="P1983:U1983"/>
    <mergeCell ref="V1983:X1983"/>
    <mergeCell ref="Y1983:AB1983"/>
    <mergeCell ref="AC1983:AF1983"/>
    <mergeCell ref="J1988:O1988"/>
    <mergeCell ref="P1988:U1988"/>
    <mergeCell ref="V1988:X1988"/>
    <mergeCell ref="Y1988:AB1988"/>
    <mergeCell ref="AC1988:AF1988"/>
    <mergeCell ref="J1989:O1989"/>
    <mergeCell ref="P1989:U1989"/>
    <mergeCell ref="V1989:X1989"/>
    <mergeCell ref="Y1989:AB1989"/>
    <mergeCell ref="AC1989:AF1989"/>
    <mergeCell ref="J1986:O1986"/>
    <mergeCell ref="P1986:U1986"/>
    <mergeCell ref="V1986:X1986"/>
    <mergeCell ref="Y1986:AB1986"/>
    <mergeCell ref="AC1986:AF1986"/>
    <mergeCell ref="J1987:O1987"/>
    <mergeCell ref="P1987:U1987"/>
    <mergeCell ref="V1987:X1987"/>
    <mergeCell ref="Y1987:AB1987"/>
    <mergeCell ref="AC1987:AF1987"/>
    <mergeCell ref="J1992:O1992"/>
    <mergeCell ref="P1992:U1992"/>
    <mergeCell ref="V1992:X1992"/>
    <mergeCell ref="Y1992:AB1992"/>
    <mergeCell ref="AC1992:AF1992"/>
    <mergeCell ref="C1993:I1993"/>
    <mergeCell ref="J1993:O1993"/>
    <mergeCell ref="P1993:U1993"/>
    <mergeCell ref="V1993:X1993"/>
    <mergeCell ref="Y1993:AB1993"/>
    <mergeCell ref="J1990:O1990"/>
    <mergeCell ref="P1990:U1990"/>
    <mergeCell ref="V1990:X1990"/>
    <mergeCell ref="Y1990:AB1990"/>
    <mergeCell ref="AC1990:AF1990"/>
    <mergeCell ref="J1991:O1991"/>
    <mergeCell ref="P1991:U1991"/>
    <mergeCell ref="V1991:X1991"/>
    <mergeCell ref="Y1991:AB1991"/>
    <mergeCell ref="AC1991:AF1991"/>
    <mergeCell ref="P2006:U2006"/>
    <mergeCell ref="P2007:U2007"/>
    <mergeCell ref="P2008:U2008"/>
    <mergeCell ref="P2009:U2009"/>
    <mergeCell ref="P2010:U2010"/>
    <mergeCell ref="P2011:U2011"/>
    <mergeCell ref="P2000:U2000"/>
    <mergeCell ref="P2001:U2001"/>
    <mergeCell ref="P2002:U2002"/>
    <mergeCell ref="P2003:U2003"/>
    <mergeCell ref="P2004:U2004"/>
    <mergeCell ref="P2005:U2005"/>
    <mergeCell ref="AC1993:AF1993"/>
    <mergeCell ref="D1995:U1995"/>
    <mergeCell ref="D1996:U1996"/>
    <mergeCell ref="D1997:U1997"/>
    <mergeCell ref="D1998:U1998"/>
    <mergeCell ref="D1999:O1999"/>
    <mergeCell ref="P1999:U1999"/>
    <mergeCell ref="D2024:O2024"/>
    <mergeCell ref="P2024:U2024"/>
    <mergeCell ref="E2025:O2025"/>
    <mergeCell ref="P2025:U2025"/>
    <mergeCell ref="P2026:U2026"/>
    <mergeCell ref="P2027:U2027"/>
    <mergeCell ref="P2018:U2018"/>
    <mergeCell ref="P2019:U2019"/>
    <mergeCell ref="P2020:U2020"/>
    <mergeCell ref="P2021:U2021"/>
    <mergeCell ref="P2022:U2022"/>
    <mergeCell ref="P2023:U2023"/>
    <mergeCell ref="P2012:U2012"/>
    <mergeCell ref="P2013:U2013"/>
    <mergeCell ref="P2014:U2014"/>
    <mergeCell ref="P2015:U2015"/>
    <mergeCell ref="P2016:U2016"/>
    <mergeCell ref="P2017:U2017"/>
    <mergeCell ref="P2039:U2039"/>
    <mergeCell ref="P2040:U2040"/>
    <mergeCell ref="P2041:U2041"/>
    <mergeCell ref="P2042:U2042"/>
    <mergeCell ref="P2043:U2043"/>
    <mergeCell ref="P2044:U2044"/>
    <mergeCell ref="E2034:O2034"/>
    <mergeCell ref="P2034:U2034"/>
    <mergeCell ref="P2035:U2035"/>
    <mergeCell ref="P2036:U2036"/>
    <mergeCell ref="P2037:U2037"/>
    <mergeCell ref="P2038:U2038"/>
    <mergeCell ref="P2028:U2028"/>
    <mergeCell ref="P2029:U2029"/>
    <mergeCell ref="P2030:U2030"/>
    <mergeCell ref="P2031:U2031"/>
    <mergeCell ref="P2032:U2032"/>
    <mergeCell ref="E2033:O2033"/>
    <mergeCell ref="P2033:U2033"/>
    <mergeCell ref="P2055:U2055"/>
    <mergeCell ref="P2056:U2056"/>
    <mergeCell ref="P2057:U2057"/>
    <mergeCell ref="P2058:U2058"/>
    <mergeCell ref="P2059:U2059"/>
    <mergeCell ref="P2060:U2060"/>
    <mergeCell ref="P2050:U2050"/>
    <mergeCell ref="P2051:U2051"/>
    <mergeCell ref="P2052:U2052"/>
    <mergeCell ref="P2053:U2053"/>
    <mergeCell ref="D2054:O2054"/>
    <mergeCell ref="P2054:U2054"/>
    <mergeCell ref="P2045:U2045"/>
    <mergeCell ref="P2046:U2046"/>
    <mergeCell ref="P2047:U2047"/>
    <mergeCell ref="P2048:U2048"/>
    <mergeCell ref="E2049:O2049"/>
    <mergeCell ref="P2049:U2049"/>
    <mergeCell ref="P2073:U2073"/>
    <mergeCell ref="P2074:U2074"/>
    <mergeCell ref="P2075:U2075"/>
    <mergeCell ref="P2076:U2076"/>
    <mergeCell ref="P2077:U2077"/>
    <mergeCell ref="P2078:U2078"/>
    <mergeCell ref="D2067:U2067"/>
    <mergeCell ref="D2068:U2068"/>
    <mergeCell ref="D2069:U2069"/>
    <mergeCell ref="D2071:U2071"/>
    <mergeCell ref="D2072:O2072"/>
    <mergeCell ref="P2072:U2072"/>
    <mergeCell ref="P2061:U2061"/>
    <mergeCell ref="P2062:U2062"/>
    <mergeCell ref="P2063:U2063"/>
    <mergeCell ref="P2064:U2064"/>
    <mergeCell ref="D2065:O2065"/>
    <mergeCell ref="P2065:U2065"/>
    <mergeCell ref="P2093:U2093"/>
    <mergeCell ref="P2094:U2094"/>
    <mergeCell ref="P2095:U2095"/>
    <mergeCell ref="P2096:U2096"/>
    <mergeCell ref="P2097:U2097"/>
    <mergeCell ref="P2098:U2098"/>
    <mergeCell ref="P2085:U2085"/>
    <mergeCell ref="P2088:U2088"/>
    <mergeCell ref="P2089:U2089"/>
    <mergeCell ref="P2090:U2090"/>
    <mergeCell ref="P2091:U2091"/>
    <mergeCell ref="P2092:U2092"/>
    <mergeCell ref="P2079:U2079"/>
    <mergeCell ref="P2080:U2080"/>
    <mergeCell ref="P2081:U2081"/>
    <mergeCell ref="P2082:U2082"/>
    <mergeCell ref="P2083:U2083"/>
    <mergeCell ref="P2084:U2084"/>
    <mergeCell ref="D2112:U2112"/>
    <mergeCell ref="D2113:O2113"/>
    <mergeCell ref="P2113:U2113"/>
    <mergeCell ref="P2114:U2114"/>
    <mergeCell ref="P2115:U2115"/>
    <mergeCell ref="P2116:U2116"/>
    <mergeCell ref="D2105:O2105"/>
    <mergeCell ref="P2105:U2105"/>
    <mergeCell ref="D2107:U2107"/>
    <mergeCell ref="D2108:U2108"/>
    <mergeCell ref="D2109:U2109"/>
    <mergeCell ref="D2110:U2110"/>
    <mergeCell ref="P2099:U2099"/>
    <mergeCell ref="P2100:U2100"/>
    <mergeCell ref="P2101:U2101"/>
    <mergeCell ref="P2102:U2102"/>
    <mergeCell ref="P2103:U2103"/>
    <mergeCell ref="P2104:U2104"/>
    <mergeCell ref="P2129:U2129"/>
    <mergeCell ref="P2130:U2130"/>
    <mergeCell ref="P2131:U2131"/>
    <mergeCell ref="P2132:U2132"/>
    <mergeCell ref="P2133:U2133"/>
    <mergeCell ref="P2134:U2134"/>
    <mergeCell ref="P2123:U2123"/>
    <mergeCell ref="P2124:U2124"/>
    <mergeCell ref="P2125:U2125"/>
    <mergeCell ref="P2126:U2126"/>
    <mergeCell ref="P2127:U2127"/>
    <mergeCell ref="P2128:U2128"/>
    <mergeCell ref="P2117:U2117"/>
    <mergeCell ref="P2118:U2118"/>
    <mergeCell ref="P2119:U2119"/>
    <mergeCell ref="P2120:U2120"/>
    <mergeCell ref="P2121:U2121"/>
    <mergeCell ref="P2122:U2122"/>
    <mergeCell ref="P2147:U2147"/>
    <mergeCell ref="P2148:U2148"/>
    <mergeCell ref="P2149:U2149"/>
    <mergeCell ref="P2150:U2150"/>
    <mergeCell ref="P2151:U2151"/>
    <mergeCell ref="P2152:U2152"/>
    <mergeCell ref="P2141:U2141"/>
    <mergeCell ref="P2142:U2142"/>
    <mergeCell ref="P2143:U2143"/>
    <mergeCell ref="P2144:U2144"/>
    <mergeCell ref="P2145:U2145"/>
    <mergeCell ref="P2146:U2146"/>
    <mergeCell ref="P2135:U2135"/>
    <mergeCell ref="P2136:U2136"/>
    <mergeCell ref="P2137:U2137"/>
    <mergeCell ref="P2138:U2138"/>
    <mergeCell ref="P2139:U2139"/>
    <mergeCell ref="P2140:U2140"/>
    <mergeCell ref="P2165:U2165"/>
    <mergeCell ref="P2166:U2166"/>
    <mergeCell ref="P2167:U2167"/>
    <mergeCell ref="P2168:U2168"/>
    <mergeCell ref="P2169:U2169"/>
    <mergeCell ref="P2170:U2170"/>
    <mergeCell ref="P2159:U2159"/>
    <mergeCell ref="P2160:U2160"/>
    <mergeCell ref="P2161:U2161"/>
    <mergeCell ref="P2162:U2162"/>
    <mergeCell ref="P2163:U2163"/>
    <mergeCell ref="P2164:U2164"/>
    <mergeCell ref="P2153:U2153"/>
    <mergeCell ref="P2154:U2154"/>
    <mergeCell ref="P2155:U2155"/>
    <mergeCell ref="P2156:U2156"/>
    <mergeCell ref="P2157:U2157"/>
    <mergeCell ref="P2158:U2158"/>
    <mergeCell ref="P2183:U2183"/>
    <mergeCell ref="P2184:U2184"/>
    <mergeCell ref="P2185:U2185"/>
    <mergeCell ref="P2186:U2186"/>
    <mergeCell ref="P2187:U2187"/>
    <mergeCell ref="P2188:U2188"/>
    <mergeCell ref="P2177:U2177"/>
    <mergeCell ref="P2178:U2178"/>
    <mergeCell ref="P2179:U2179"/>
    <mergeCell ref="P2180:U2180"/>
    <mergeCell ref="P2181:U2181"/>
    <mergeCell ref="P2182:U2182"/>
    <mergeCell ref="P2171:U2171"/>
    <mergeCell ref="P2172:U2172"/>
    <mergeCell ref="P2173:U2173"/>
    <mergeCell ref="P2174:U2174"/>
    <mergeCell ref="P2175:U2175"/>
    <mergeCell ref="P2176:U2176"/>
    <mergeCell ref="P2201:U2201"/>
    <mergeCell ref="P2202:U2202"/>
    <mergeCell ref="P2203:U2203"/>
    <mergeCell ref="P2204:U2204"/>
    <mergeCell ref="P2205:U2205"/>
    <mergeCell ref="P2206:U2206"/>
    <mergeCell ref="P2195:U2195"/>
    <mergeCell ref="P2196:U2196"/>
    <mergeCell ref="P2197:U2197"/>
    <mergeCell ref="P2198:U2198"/>
    <mergeCell ref="P2199:U2199"/>
    <mergeCell ref="P2200:U2200"/>
    <mergeCell ref="P2189:U2189"/>
    <mergeCell ref="P2190:U2190"/>
    <mergeCell ref="P2191:U2191"/>
    <mergeCell ref="P2192:U2192"/>
    <mergeCell ref="P2193:U2193"/>
    <mergeCell ref="P2194:U2194"/>
    <mergeCell ref="P2219:U2219"/>
    <mergeCell ref="P2220:U2220"/>
    <mergeCell ref="D2221:O2221"/>
    <mergeCell ref="P2221:U2221"/>
    <mergeCell ref="R2222:S2222"/>
    <mergeCell ref="D2223:U2223"/>
    <mergeCell ref="P2213:U2213"/>
    <mergeCell ref="P2214:U2214"/>
    <mergeCell ref="P2215:U2215"/>
    <mergeCell ref="P2216:U2216"/>
    <mergeCell ref="P2217:U2217"/>
    <mergeCell ref="P2218:U2218"/>
    <mergeCell ref="P2207:U2207"/>
    <mergeCell ref="P2208:U2208"/>
    <mergeCell ref="P2209:U2209"/>
    <mergeCell ref="P2210:U2210"/>
    <mergeCell ref="P2211:U2211"/>
    <mergeCell ref="P2212:U2212"/>
    <mergeCell ref="D2235:U2235"/>
    <mergeCell ref="D2237:R2237"/>
    <mergeCell ref="D2238:K2238"/>
    <mergeCell ref="L2238:R2238"/>
    <mergeCell ref="D2239:K2239"/>
    <mergeCell ref="L2239:R2239"/>
    <mergeCell ref="D2230:K2230"/>
    <mergeCell ref="L2230:R2230"/>
    <mergeCell ref="D2231:K2231"/>
    <mergeCell ref="L2231:R2231"/>
    <mergeCell ref="D2233:U2233"/>
    <mergeCell ref="D2234:U2234"/>
    <mergeCell ref="D2224:U2224"/>
    <mergeCell ref="D2225:U2225"/>
    <mergeCell ref="D2227:R2227"/>
    <mergeCell ref="D2228:K2228"/>
    <mergeCell ref="L2228:R2228"/>
    <mergeCell ref="D2229:K2229"/>
    <mergeCell ref="L2229:R2229"/>
    <mergeCell ref="D2251:K2251"/>
    <mergeCell ref="L2251:R2251"/>
    <mergeCell ref="D2252:K2252"/>
    <mergeCell ref="L2252:R2252"/>
    <mergeCell ref="D2253:K2253"/>
    <mergeCell ref="L2253:R2253"/>
    <mergeCell ref="D2244:U2244"/>
    <mergeCell ref="D2245:U2245"/>
    <mergeCell ref="D2246:U2246"/>
    <mergeCell ref="D2247:U2247"/>
    <mergeCell ref="D2248:U2248"/>
    <mergeCell ref="D2250:R2250"/>
    <mergeCell ref="D2240:K2240"/>
    <mergeCell ref="L2240:R2240"/>
    <mergeCell ref="A2241:A2242"/>
    <mergeCell ref="D2241:K2241"/>
    <mergeCell ref="L2241:R2241"/>
    <mergeCell ref="D2243:U2243"/>
    <mergeCell ref="D2264:K2264"/>
    <mergeCell ref="L2264:R2264"/>
    <mergeCell ref="D2265:K2265"/>
    <mergeCell ref="L2265:R2265"/>
    <mergeCell ref="A2266:A2267"/>
    <mergeCell ref="D2266:K2266"/>
    <mergeCell ref="L2266:R2266"/>
    <mergeCell ref="D2267:K2267"/>
    <mergeCell ref="L2267:R2267"/>
    <mergeCell ref="D2257:K2257"/>
    <mergeCell ref="L2257:R2257"/>
    <mergeCell ref="D2259:U2259"/>
    <mergeCell ref="D2260:U2260"/>
    <mergeCell ref="D2261:U2261"/>
    <mergeCell ref="D2263:R2263"/>
    <mergeCell ref="D2254:K2254"/>
    <mergeCell ref="L2254:R2254"/>
    <mergeCell ref="D2255:K2255"/>
    <mergeCell ref="L2255:R2255"/>
    <mergeCell ref="D2256:K2256"/>
    <mergeCell ref="L2256:R2256"/>
    <mergeCell ref="D2278:K2278"/>
    <mergeCell ref="L2278:R2278"/>
    <mergeCell ref="D2279:K2279"/>
    <mergeCell ref="L2279:R2279"/>
    <mergeCell ref="D2281:U2281"/>
    <mergeCell ref="D2282:U2282"/>
    <mergeCell ref="D2275:K2275"/>
    <mergeCell ref="L2275:R2275"/>
    <mergeCell ref="D2276:K2276"/>
    <mergeCell ref="L2276:R2276"/>
    <mergeCell ref="D2277:K2277"/>
    <mergeCell ref="L2277:R2277"/>
    <mergeCell ref="D2269:U2269"/>
    <mergeCell ref="D2270:U2270"/>
    <mergeCell ref="D2271:U2271"/>
    <mergeCell ref="D2272:U2272"/>
    <mergeCell ref="D2273:U2273"/>
    <mergeCell ref="D2274:K2274"/>
    <mergeCell ref="L2274:R2274"/>
    <mergeCell ref="D2293:U2293"/>
    <mergeCell ref="D2294:U2294"/>
    <mergeCell ref="D2295:R2295"/>
    <mergeCell ref="D2296:K2296"/>
    <mergeCell ref="L2296:R2296"/>
    <mergeCell ref="D2297:K2297"/>
    <mergeCell ref="L2297:R2297"/>
    <mergeCell ref="D2288:K2288"/>
    <mergeCell ref="L2288:R2288"/>
    <mergeCell ref="D2289:K2289"/>
    <mergeCell ref="L2289:R2289"/>
    <mergeCell ref="A2290:A2292"/>
    <mergeCell ref="D2290:K2290"/>
    <mergeCell ref="L2290:R2290"/>
    <mergeCell ref="D2292:U2292"/>
    <mergeCell ref="D2284:R2284"/>
    <mergeCell ref="D2285:K2285"/>
    <mergeCell ref="L2285:R2285"/>
    <mergeCell ref="D2286:K2286"/>
    <mergeCell ref="L2286:R2286"/>
    <mergeCell ref="D2287:K2287"/>
    <mergeCell ref="L2287:R2287"/>
    <mergeCell ref="C2317:U2317"/>
    <mergeCell ref="C2318:U2318"/>
    <mergeCell ref="C2320:U2320"/>
    <mergeCell ref="C2323:U2323"/>
    <mergeCell ref="C2328:U2328"/>
    <mergeCell ref="C2329:N2329"/>
    <mergeCell ref="P2329:U2329"/>
    <mergeCell ref="C2308:U2308"/>
    <mergeCell ref="D2309:U2309"/>
    <mergeCell ref="C2310:U2310"/>
    <mergeCell ref="D2311:U2311"/>
    <mergeCell ref="C2314:U2314"/>
    <mergeCell ref="C2316:U2316"/>
    <mergeCell ref="D2298:K2298"/>
    <mergeCell ref="L2298:R2298"/>
    <mergeCell ref="D2299:K2299"/>
    <mergeCell ref="L2299:R2299"/>
    <mergeCell ref="D2300:U2300"/>
    <mergeCell ref="C2302:U2302"/>
    <mergeCell ref="C2336:N2336"/>
    <mergeCell ref="P2336:U2336"/>
    <mergeCell ref="C2337:N2337"/>
    <mergeCell ref="P2337:U2337"/>
    <mergeCell ref="C2338:N2338"/>
    <mergeCell ref="P2338:U2338"/>
    <mergeCell ref="C2333:N2333"/>
    <mergeCell ref="P2333:U2333"/>
    <mergeCell ref="C2334:N2334"/>
    <mergeCell ref="P2334:U2334"/>
    <mergeCell ref="C2335:N2335"/>
    <mergeCell ref="P2335:U2335"/>
    <mergeCell ref="C2330:N2330"/>
    <mergeCell ref="P2330:U2330"/>
    <mergeCell ref="C2331:N2331"/>
    <mergeCell ref="P2331:U2331"/>
    <mergeCell ref="C2332:N2332"/>
    <mergeCell ref="P2332:U2332"/>
    <mergeCell ref="J2422:U2422"/>
    <mergeCell ref="K2424:L2424"/>
    <mergeCell ref="M2424:S2424"/>
    <mergeCell ref="B2520:B2526"/>
    <mergeCell ref="B2410:U2410"/>
    <mergeCell ref="B2411:U2411"/>
    <mergeCell ref="B2413:T2413"/>
    <mergeCell ref="B2414:T2414"/>
    <mergeCell ref="B2415:T2415"/>
    <mergeCell ref="J2418:U2418"/>
    <mergeCell ref="C2342:N2342"/>
    <mergeCell ref="P2342:U2342"/>
    <mergeCell ref="C2343:N2343"/>
    <mergeCell ref="P2343:U2343"/>
    <mergeCell ref="B2363:U2363"/>
    <mergeCell ref="B2364:U2364"/>
    <mergeCell ref="C2339:N2339"/>
    <mergeCell ref="P2339:U2339"/>
    <mergeCell ref="C2340:N2340"/>
    <mergeCell ref="P2340:U2340"/>
    <mergeCell ref="C2341:N2341"/>
    <mergeCell ref="P2341:U234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C3966-B40F-41D9-8341-EF056E527894}">
  <dimension ref="A1:T48"/>
  <sheetViews>
    <sheetView topLeftCell="A33" zoomScale="89" zoomScaleNormal="89" workbookViewId="0">
      <selection activeCell="I56" sqref="I56"/>
    </sheetView>
  </sheetViews>
  <sheetFormatPr defaultRowHeight="12.75" x14ac:dyDescent="0.2"/>
  <sheetData>
    <row r="1" spans="1:20" ht="18" x14ac:dyDescent="0.2">
      <c r="A1" s="1368" t="s">
        <v>120</v>
      </c>
      <c r="B1" s="1368"/>
      <c r="C1" s="1368"/>
      <c r="D1" s="1368"/>
      <c r="E1" s="1368"/>
      <c r="F1" s="1368"/>
      <c r="G1" s="1368"/>
      <c r="H1" s="1368"/>
      <c r="I1" s="1368"/>
      <c r="J1" s="1368"/>
      <c r="K1" s="1368"/>
      <c r="L1" s="1368"/>
      <c r="M1" s="1368"/>
      <c r="N1" s="1368"/>
      <c r="O1" s="1368"/>
      <c r="P1" s="1368"/>
      <c r="Q1" s="1368"/>
      <c r="R1" s="1368"/>
      <c r="S1" s="1368"/>
      <c r="T1" s="1368"/>
    </row>
    <row r="2" spans="1:20" ht="18" x14ac:dyDescent="0.2">
      <c r="A2" s="1368" t="s">
        <v>121</v>
      </c>
      <c r="B2" s="1368"/>
      <c r="C2" s="1368"/>
      <c r="D2" s="1368"/>
      <c r="E2" s="1368"/>
      <c r="F2" s="1368"/>
      <c r="G2" s="1368"/>
      <c r="H2" s="1368"/>
      <c r="I2" s="1368"/>
      <c r="J2" s="1368"/>
      <c r="K2" s="1368"/>
      <c r="L2" s="1368"/>
      <c r="M2" s="1368"/>
      <c r="N2" s="1368"/>
      <c r="O2" s="1368"/>
      <c r="P2" s="1368"/>
      <c r="Q2" s="1368"/>
      <c r="R2" s="1368"/>
      <c r="S2" s="1368"/>
      <c r="T2" s="1368"/>
    </row>
    <row r="3" spans="1:20" ht="18" x14ac:dyDescent="0.2">
      <c r="A3" s="347"/>
      <c r="B3" s="348"/>
      <c r="C3" s="348"/>
      <c r="D3" s="349"/>
      <c r="E3" s="382"/>
      <c r="F3" s="350"/>
      <c r="G3" s="350"/>
      <c r="H3" s="350"/>
      <c r="I3" s="350"/>
      <c r="J3" s="350"/>
      <c r="K3" s="350"/>
      <c r="L3" s="350"/>
      <c r="M3" s="350"/>
      <c r="N3" s="350"/>
      <c r="O3" s="350"/>
      <c r="P3" s="350"/>
      <c r="Q3" s="350"/>
      <c r="R3" s="350"/>
      <c r="S3" s="350"/>
      <c r="T3" s="350"/>
    </row>
    <row r="4" spans="1:20" ht="15.75" customHeight="1" x14ac:dyDescent="0.2">
      <c r="A4" s="1374"/>
      <c r="B4" s="339" t="s">
        <v>122</v>
      </c>
      <c r="C4" s="1347" t="s">
        <v>123</v>
      </c>
      <c r="D4" s="1347"/>
      <c r="E4" s="1347"/>
      <c r="F4" s="1347"/>
      <c r="G4" s="1347"/>
      <c r="H4" s="1347"/>
      <c r="I4" s="1347"/>
      <c r="J4" s="1347"/>
      <c r="K4" s="1347"/>
      <c r="L4" s="1347"/>
      <c r="M4" s="1347"/>
      <c r="N4" s="1347"/>
      <c r="O4" s="1347"/>
      <c r="P4" s="1347"/>
      <c r="Q4" s="1347"/>
      <c r="R4" s="1347"/>
      <c r="S4" s="1347"/>
      <c r="T4" s="1347"/>
    </row>
    <row r="5" spans="1:20" ht="15.75" x14ac:dyDescent="0.2">
      <c r="A5" s="1374"/>
      <c r="B5" s="340" t="s">
        <v>953</v>
      </c>
      <c r="C5" s="351"/>
      <c r="D5" s="351"/>
      <c r="E5" s="383"/>
      <c r="F5" s="351"/>
      <c r="G5" s="351"/>
      <c r="H5" s="351"/>
      <c r="I5" s="351"/>
      <c r="J5" s="351"/>
      <c r="K5" s="351"/>
      <c r="L5" s="351"/>
      <c r="M5" s="351"/>
      <c r="N5" s="351"/>
      <c r="O5" s="351"/>
      <c r="P5" s="351"/>
      <c r="Q5" s="351"/>
      <c r="R5" s="351"/>
      <c r="S5" s="351"/>
      <c r="T5" s="351"/>
    </row>
    <row r="6" spans="1:20" ht="15.75" customHeight="1" x14ac:dyDescent="0.2">
      <c r="A6" s="1374"/>
      <c r="B6" s="352"/>
      <c r="C6" s="1358" t="s">
        <v>954</v>
      </c>
      <c r="D6" s="1358"/>
      <c r="E6" s="1358"/>
      <c r="F6" s="1358"/>
      <c r="G6" s="1358"/>
      <c r="H6" s="1358"/>
      <c r="I6" s="1358"/>
      <c r="J6" s="1358"/>
      <c r="K6" s="1358"/>
      <c r="L6" s="1358"/>
      <c r="M6" s="1358"/>
      <c r="N6" s="1358"/>
      <c r="O6" s="1358"/>
      <c r="P6" s="1358"/>
      <c r="Q6" s="1358"/>
      <c r="R6" s="1358"/>
      <c r="S6" s="1358"/>
      <c r="T6" s="1358"/>
    </row>
    <row r="7" spans="1:20" ht="15.75" customHeight="1" x14ac:dyDescent="0.2">
      <c r="A7" s="1374"/>
      <c r="B7" s="352"/>
      <c r="C7" s="1358" t="s">
        <v>124</v>
      </c>
      <c r="D7" s="1358"/>
      <c r="E7" s="1358"/>
      <c r="F7" s="1358"/>
      <c r="G7" s="1358"/>
      <c r="H7" s="1358"/>
      <c r="I7" s="1358"/>
      <c r="J7" s="1358"/>
      <c r="K7" s="1358"/>
      <c r="L7" s="1358"/>
      <c r="M7" s="1358"/>
      <c r="N7" s="1358"/>
      <c r="O7" s="1358"/>
      <c r="P7" s="1358"/>
      <c r="Q7" s="1358"/>
      <c r="R7" s="1358"/>
      <c r="S7" s="1358"/>
      <c r="T7" s="1358"/>
    </row>
    <row r="8" spans="1:20" ht="15" x14ac:dyDescent="0.2">
      <c r="A8" s="345"/>
      <c r="B8" s="352"/>
      <c r="C8" s="353"/>
      <c r="D8" s="353"/>
      <c r="E8" s="384"/>
      <c r="F8" s="353"/>
      <c r="G8" s="353"/>
      <c r="H8" s="353"/>
      <c r="I8" s="353"/>
      <c r="J8" s="353"/>
      <c r="K8" s="353"/>
      <c r="L8" s="353"/>
      <c r="M8" s="353"/>
      <c r="N8" s="353"/>
      <c r="O8" s="353"/>
      <c r="P8" s="353"/>
      <c r="Q8" s="353"/>
      <c r="R8" s="353"/>
      <c r="S8" s="353"/>
      <c r="T8" s="353"/>
    </row>
    <row r="9" spans="1:20" x14ac:dyDescent="0.2">
      <c r="A9" s="1359" t="s">
        <v>125</v>
      </c>
      <c r="B9" s="1360"/>
      <c r="C9" s="1360"/>
      <c r="D9" s="1360"/>
      <c r="E9" s="1360"/>
      <c r="F9" s="1361"/>
      <c r="G9" s="1349" t="s">
        <v>963</v>
      </c>
      <c r="H9" s="1350"/>
      <c r="I9" s="1350"/>
      <c r="J9" s="1350"/>
      <c r="K9" s="1351"/>
      <c r="L9" s="1349" t="s">
        <v>964</v>
      </c>
      <c r="M9" s="1350"/>
      <c r="N9" s="1350"/>
      <c r="O9" s="1350"/>
      <c r="P9" s="1351"/>
      <c r="Q9" s="1349" t="s">
        <v>128</v>
      </c>
      <c r="R9" s="1350"/>
      <c r="S9" s="1350"/>
      <c r="T9" s="1351"/>
    </row>
    <row r="10" spans="1:20" x14ac:dyDescent="0.2">
      <c r="A10" s="1362"/>
      <c r="B10" s="1363"/>
      <c r="C10" s="1363"/>
      <c r="D10" s="1363"/>
      <c r="E10" s="1363"/>
      <c r="F10" s="1364"/>
      <c r="G10" s="1352"/>
      <c r="H10" s="1353"/>
      <c r="I10" s="1353"/>
      <c r="J10" s="1353"/>
      <c r="K10" s="1354"/>
      <c r="L10" s="1352"/>
      <c r="M10" s="1353"/>
      <c r="N10" s="1353"/>
      <c r="O10" s="1353"/>
      <c r="P10" s="1354"/>
      <c r="Q10" s="1352"/>
      <c r="R10" s="1353"/>
      <c r="S10" s="1353"/>
      <c r="T10" s="1354"/>
    </row>
    <row r="11" spans="1:20" ht="15" x14ac:dyDescent="0.2">
      <c r="A11" s="354" t="s">
        <v>129</v>
      </c>
      <c r="B11" s="355"/>
      <c r="C11" s="356"/>
      <c r="D11" s="356"/>
      <c r="E11" s="385"/>
      <c r="F11" s="356"/>
      <c r="G11" s="1365"/>
      <c r="H11" s="1366"/>
      <c r="I11" s="1366"/>
      <c r="J11" s="1366"/>
      <c r="K11" s="1367"/>
      <c r="L11" s="1369"/>
      <c r="M11" s="1370"/>
      <c r="N11" s="1370"/>
      <c r="O11" s="1370"/>
      <c r="P11" s="1371"/>
      <c r="Q11" s="1369"/>
      <c r="R11" s="1370"/>
      <c r="S11" s="1370"/>
      <c r="T11" s="1371"/>
    </row>
    <row r="12" spans="1:20" ht="15" x14ac:dyDescent="0.2">
      <c r="A12" s="394" t="s">
        <v>130</v>
      </c>
      <c r="B12" s="355"/>
      <c r="C12" s="343"/>
      <c r="D12" s="358"/>
      <c r="E12" s="386"/>
      <c r="F12" s="358"/>
      <c r="G12" s="1365">
        <v>3000000000</v>
      </c>
      <c r="H12" s="1366"/>
      <c r="I12" s="1366"/>
      <c r="J12" s="1366"/>
      <c r="K12" s="1367"/>
      <c r="L12" s="1325">
        <f>SUM(L13:P14)</f>
        <v>2658192700</v>
      </c>
      <c r="M12" s="1326"/>
      <c r="N12" s="1326"/>
      <c r="O12" s="1326"/>
      <c r="P12" s="1327"/>
      <c r="Q12" s="1325">
        <f>L12-G12</f>
        <v>-341807300</v>
      </c>
      <c r="R12" s="1326"/>
      <c r="S12" s="1326"/>
      <c r="T12" s="1327"/>
    </row>
    <row r="13" spans="1:20" ht="15" x14ac:dyDescent="0.2">
      <c r="A13" s="360" t="s">
        <v>965</v>
      </c>
      <c r="B13" s="355"/>
      <c r="C13" s="355"/>
      <c r="D13" s="361"/>
      <c r="E13" s="387"/>
      <c r="F13" s="361"/>
      <c r="G13" s="1325">
        <v>0</v>
      </c>
      <c r="H13" s="1326"/>
      <c r="I13" s="1326"/>
      <c r="J13" s="1326"/>
      <c r="K13" s="1327"/>
      <c r="L13" s="1325">
        <v>2580878700</v>
      </c>
      <c r="M13" s="1326"/>
      <c r="N13" s="1326"/>
      <c r="O13" s="1326"/>
      <c r="P13" s="1327"/>
      <c r="Q13" s="1325">
        <f t="shared" ref="Q13:Q22" si="0">L13-G13</f>
        <v>2580878700</v>
      </c>
      <c r="R13" s="1326"/>
      <c r="S13" s="1326"/>
      <c r="T13" s="1327"/>
    </row>
    <row r="14" spans="1:20" ht="15" x14ac:dyDescent="0.2">
      <c r="A14" s="360" t="s">
        <v>132</v>
      </c>
      <c r="B14" s="355"/>
      <c r="C14" s="355"/>
      <c r="D14" s="361"/>
      <c r="E14" s="387"/>
      <c r="F14" s="361"/>
      <c r="G14" s="1325">
        <v>0</v>
      </c>
      <c r="H14" s="1326"/>
      <c r="I14" s="1326"/>
      <c r="J14" s="1326"/>
      <c r="K14" s="1327"/>
      <c r="L14" s="1379">
        <v>77314000</v>
      </c>
      <c r="M14" s="1380"/>
      <c r="N14" s="1380"/>
      <c r="O14" s="1380"/>
      <c r="P14" s="1381"/>
      <c r="Q14" s="1325">
        <f t="shared" si="0"/>
        <v>77314000</v>
      </c>
      <c r="R14" s="1326"/>
      <c r="S14" s="1326"/>
      <c r="T14" s="1327"/>
    </row>
    <row r="15" spans="1:20" ht="15" x14ac:dyDescent="0.2">
      <c r="A15" s="362" t="s">
        <v>133</v>
      </c>
      <c r="B15" s="355"/>
      <c r="C15" s="363"/>
      <c r="D15" s="363"/>
      <c r="E15" s="388"/>
      <c r="F15" s="363"/>
      <c r="G15" s="1365">
        <f>SUM(G12:G14)</f>
        <v>3000000000</v>
      </c>
      <c r="H15" s="1366"/>
      <c r="I15" s="1366"/>
      <c r="J15" s="1366"/>
      <c r="K15" s="1367"/>
      <c r="L15" s="1365">
        <f>L12</f>
        <v>2658192700</v>
      </c>
      <c r="M15" s="1366"/>
      <c r="N15" s="1366"/>
      <c r="O15" s="1366"/>
      <c r="P15" s="1367"/>
      <c r="Q15" s="1325">
        <f t="shared" si="0"/>
        <v>-341807300</v>
      </c>
      <c r="R15" s="1326"/>
      <c r="S15" s="1326"/>
      <c r="T15" s="1327"/>
    </row>
    <row r="16" spans="1:20" ht="15" x14ac:dyDescent="0.2">
      <c r="A16" s="362" t="s">
        <v>134</v>
      </c>
      <c r="B16" s="355"/>
      <c r="C16" s="363"/>
      <c r="D16" s="363"/>
      <c r="E16" s="388"/>
      <c r="F16" s="363"/>
      <c r="G16" s="1355"/>
      <c r="H16" s="1356"/>
      <c r="I16" s="1356"/>
      <c r="J16" s="1356"/>
      <c r="K16" s="1357"/>
      <c r="L16" s="1325"/>
      <c r="M16" s="1326"/>
      <c r="N16" s="1326"/>
      <c r="O16" s="1326"/>
      <c r="P16" s="1327"/>
      <c r="Q16" s="1325">
        <f t="shared" si="0"/>
        <v>0</v>
      </c>
      <c r="R16" s="1326"/>
      <c r="S16" s="1326"/>
      <c r="T16" s="1327"/>
    </row>
    <row r="17" spans="1:20" ht="15" x14ac:dyDescent="0.2">
      <c r="A17" s="360" t="s">
        <v>135</v>
      </c>
      <c r="B17" s="355"/>
      <c r="C17" s="355"/>
      <c r="D17" s="364"/>
      <c r="E17" s="389"/>
      <c r="F17" s="364"/>
      <c r="G17" s="1325">
        <v>7230876979</v>
      </c>
      <c r="H17" s="1326"/>
      <c r="I17" s="1326"/>
      <c r="J17" s="1326"/>
      <c r="K17" s="1327"/>
      <c r="L17" s="1325">
        <v>6610322462</v>
      </c>
      <c r="M17" s="1326"/>
      <c r="N17" s="1326"/>
      <c r="O17" s="1326"/>
      <c r="P17" s="1327"/>
      <c r="Q17" s="1325">
        <f t="shared" si="0"/>
        <v>-620554517</v>
      </c>
      <c r="R17" s="1326"/>
      <c r="S17" s="1326"/>
      <c r="T17" s="1327"/>
    </row>
    <row r="18" spans="1:20" ht="15" x14ac:dyDescent="0.2">
      <c r="A18" s="360" t="s">
        <v>136</v>
      </c>
      <c r="B18" s="355"/>
      <c r="C18" s="355"/>
      <c r="D18" s="364"/>
      <c r="E18" s="389"/>
      <c r="F18" s="364"/>
      <c r="G18" s="1325">
        <v>15384216700</v>
      </c>
      <c r="H18" s="1326"/>
      <c r="I18" s="1326"/>
      <c r="J18" s="1326"/>
      <c r="K18" s="1327"/>
      <c r="L18" s="1325">
        <v>2096752819</v>
      </c>
      <c r="M18" s="1326"/>
      <c r="N18" s="1326"/>
      <c r="O18" s="1326"/>
      <c r="P18" s="1327"/>
      <c r="Q18" s="1325">
        <f t="shared" si="0"/>
        <v>-13287463881</v>
      </c>
      <c r="R18" s="1326"/>
      <c r="S18" s="1326"/>
      <c r="T18" s="1327"/>
    </row>
    <row r="19" spans="1:20" ht="15" x14ac:dyDescent="0.2">
      <c r="A19" s="360" t="s">
        <v>955</v>
      </c>
      <c r="B19" s="355"/>
      <c r="C19" s="355"/>
      <c r="D19" s="364"/>
      <c r="E19" s="389"/>
      <c r="F19" s="364"/>
      <c r="G19" s="1325">
        <v>0</v>
      </c>
      <c r="H19" s="1326"/>
      <c r="I19" s="1326"/>
      <c r="J19" s="1326"/>
      <c r="K19" s="1327"/>
      <c r="L19" s="1325">
        <v>0</v>
      </c>
      <c r="M19" s="1326"/>
      <c r="N19" s="1326"/>
      <c r="O19" s="1326"/>
      <c r="P19" s="1327"/>
      <c r="Q19" s="1325">
        <f t="shared" si="0"/>
        <v>0</v>
      </c>
      <c r="R19" s="1326"/>
      <c r="S19" s="1326"/>
      <c r="T19" s="1327"/>
    </row>
    <row r="20" spans="1:20" ht="15" x14ac:dyDescent="0.2">
      <c r="A20" s="360" t="s">
        <v>138</v>
      </c>
      <c r="B20" s="355"/>
      <c r="C20" s="355"/>
      <c r="D20" s="364"/>
      <c r="E20" s="389"/>
      <c r="F20" s="364"/>
      <c r="G20" s="1325">
        <v>0</v>
      </c>
      <c r="H20" s="1326"/>
      <c r="I20" s="1326"/>
      <c r="J20" s="1326"/>
      <c r="K20" s="1327"/>
      <c r="L20" s="1325">
        <v>0</v>
      </c>
      <c r="M20" s="1326"/>
      <c r="N20" s="1326"/>
      <c r="O20" s="1326"/>
      <c r="P20" s="1327"/>
      <c r="Q20" s="1325">
        <f t="shared" si="0"/>
        <v>0</v>
      </c>
      <c r="R20" s="1326"/>
      <c r="S20" s="1326"/>
      <c r="T20" s="1327"/>
    </row>
    <row r="21" spans="1:20" ht="15" x14ac:dyDescent="0.2">
      <c r="A21" s="362" t="s">
        <v>139</v>
      </c>
      <c r="B21" s="355"/>
      <c r="C21" s="363"/>
      <c r="D21" s="363"/>
      <c r="E21" s="388"/>
      <c r="F21" s="363"/>
      <c r="G21" s="1325">
        <f>SUM(G17:G20)</f>
        <v>22615093679</v>
      </c>
      <c r="H21" s="1326"/>
      <c r="I21" s="1326"/>
      <c r="J21" s="1326"/>
      <c r="K21" s="1327"/>
      <c r="L21" s="1325">
        <f>SUM(L17:L20)</f>
        <v>8707075281</v>
      </c>
      <c r="M21" s="1326"/>
      <c r="N21" s="1326"/>
      <c r="O21" s="1326"/>
      <c r="P21" s="1327"/>
      <c r="Q21" s="1325">
        <f t="shared" si="0"/>
        <v>-13908018398</v>
      </c>
      <c r="R21" s="1326"/>
      <c r="S21" s="1326"/>
      <c r="T21" s="1327"/>
    </row>
    <row r="22" spans="1:20" ht="15" x14ac:dyDescent="0.2">
      <c r="A22" s="378" t="s">
        <v>140</v>
      </c>
      <c r="B22" s="379"/>
      <c r="C22" s="380"/>
      <c r="D22" s="380"/>
      <c r="E22" s="390"/>
      <c r="F22" s="380"/>
      <c r="G22" s="1329">
        <f>G15-G21</f>
        <v>-19615093679</v>
      </c>
      <c r="H22" s="1330"/>
      <c r="I22" s="1330"/>
      <c r="J22" s="1330"/>
      <c r="K22" s="1331"/>
      <c r="L22" s="1329">
        <f>L15-L21</f>
        <v>-6048882581</v>
      </c>
      <c r="M22" s="1330"/>
      <c r="N22" s="1330"/>
      <c r="O22" s="1330"/>
      <c r="P22" s="1331"/>
      <c r="Q22" s="1325">
        <f t="shared" si="0"/>
        <v>13566211098</v>
      </c>
      <c r="R22" s="1326"/>
      <c r="S22" s="1326"/>
      <c r="T22" s="1327"/>
    </row>
    <row r="23" spans="1:20" ht="15" x14ac:dyDescent="0.2">
      <c r="A23" s="342"/>
      <c r="B23" s="365"/>
      <c r="C23" s="365"/>
      <c r="D23" s="365"/>
      <c r="E23" s="391"/>
      <c r="F23" s="365"/>
      <c r="G23" s="365"/>
      <c r="H23" s="365"/>
      <c r="I23" s="365"/>
      <c r="J23" s="366"/>
      <c r="K23" s="366"/>
      <c r="L23" s="366"/>
      <c r="M23" s="366"/>
      <c r="N23" s="366"/>
      <c r="O23" s="366"/>
      <c r="P23" s="366"/>
      <c r="Q23" s="366"/>
      <c r="R23" s="366"/>
      <c r="S23" s="375"/>
      <c r="T23" s="375"/>
    </row>
    <row r="24" spans="1:20" ht="18" customHeight="1" x14ac:dyDescent="0.2">
      <c r="A24" s="1375" t="s">
        <v>956</v>
      </c>
      <c r="B24" s="1375"/>
      <c r="C24" s="1375"/>
      <c r="D24" s="1375"/>
      <c r="E24" s="1375"/>
      <c r="F24" s="1375"/>
      <c r="G24" s="1375"/>
      <c r="H24" s="1375"/>
      <c r="I24" s="1375"/>
      <c r="J24" s="1375"/>
      <c r="K24" s="1375"/>
      <c r="L24" s="1375"/>
      <c r="M24" s="1375"/>
      <c r="N24" s="1375"/>
      <c r="O24" s="1375"/>
      <c r="P24" s="1375"/>
      <c r="Q24" s="1375"/>
      <c r="R24" s="1375"/>
      <c r="S24" s="1375"/>
      <c r="T24" s="1375"/>
    </row>
    <row r="25" spans="1:20" ht="15" x14ac:dyDescent="0.2">
      <c r="A25" s="342"/>
      <c r="B25" s="365"/>
      <c r="C25" s="367"/>
      <c r="D25" s="367"/>
      <c r="E25" s="392"/>
      <c r="F25" s="367"/>
      <c r="G25" s="367"/>
      <c r="H25" s="367"/>
      <c r="I25" s="367"/>
      <c r="J25" s="367"/>
      <c r="K25" s="367"/>
      <c r="L25" s="367"/>
      <c r="M25" s="367"/>
      <c r="N25" s="367"/>
      <c r="O25" s="367"/>
      <c r="P25" s="367"/>
      <c r="Q25" s="367"/>
      <c r="R25" s="367"/>
      <c r="S25" s="353"/>
      <c r="T25" s="353"/>
    </row>
    <row r="26" spans="1:20" ht="15.75" x14ac:dyDescent="0.2">
      <c r="A26" s="369"/>
      <c r="B26" s="340" t="s">
        <v>959</v>
      </c>
      <c r="C26" s="373"/>
      <c r="D26" s="373"/>
      <c r="E26" s="376"/>
      <c r="F26" s="373"/>
      <c r="G26" s="373"/>
      <c r="H26" s="373"/>
      <c r="I26" s="373"/>
      <c r="J26" s="373"/>
      <c r="K26" s="373"/>
      <c r="L26" s="374"/>
      <c r="M26" s="374"/>
      <c r="N26" s="374"/>
      <c r="O26" s="374"/>
      <c r="P26" s="374"/>
      <c r="Q26" s="374"/>
      <c r="R26" s="374"/>
      <c r="S26" s="374"/>
      <c r="T26" s="374"/>
    </row>
    <row r="27" spans="1:20" ht="15.75" customHeight="1" x14ac:dyDescent="0.2">
      <c r="A27" s="369"/>
      <c r="B27" s="341"/>
      <c r="C27" s="1383" t="s">
        <v>960</v>
      </c>
      <c r="D27" s="1383"/>
      <c r="E27" s="1383"/>
      <c r="F27" s="1383"/>
      <c r="G27" s="1383"/>
      <c r="H27" s="1383"/>
      <c r="I27" s="1383"/>
      <c r="J27" s="1383"/>
      <c r="K27" s="1383"/>
      <c r="L27" s="1383"/>
      <c r="M27" s="1383"/>
      <c r="N27" s="1383"/>
      <c r="O27" s="1383"/>
      <c r="P27" s="1383"/>
      <c r="Q27" s="1383"/>
      <c r="R27" s="1383"/>
      <c r="S27" s="1383"/>
      <c r="T27" s="1383"/>
    </row>
    <row r="28" spans="1:20" ht="18" x14ac:dyDescent="0.2">
      <c r="A28" s="1335"/>
      <c r="B28" s="1335"/>
      <c r="C28" s="1335"/>
      <c r="D28" s="1335"/>
      <c r="E28" s="1335"/>
      <c r="F28" s="1335"/>
      <c r="G28" s="1335"/>
      <c r="H28" s="1335"/>
      <c r="I28" s="1335"/>
      <c r="J28" s="1335"/>
      <c r="K28" s="1335"/>
      <c r="L28" s="1335"/>
      <c r="M28" s="1335"/>
      <c r="N28" s="1335"/>
      <c r="O28" s="1335"/>
      <c r="P28" s="1335"/>
      <c r="Q28" s="1335"/>
      <c r="R28" s="1335"/>
      <c r="S28" s="1335"/>
      <c r="T28" s="1335"/>
    </row>
    <row r="29" spans="1:20" ht="15" customHeight="1" x14ac:dyDescent="0.2">
      <c r="A29" s="1384" t="s">
        <v>125</v>
      </c>
      <c r="B29" s="1385"/>
      <c r="C29" s="1385"/>
      <c r="D29" s="1386"/>
      <c r="E29" s="1339" t="s">
        <v>957</v>
      </c>
      <c r="F29" s="1340"/>
      <c r="G29" s="1340"/>
      <c r="H29" s="1340"/>
      <c r="I29" s="1340"/>
      <c r="J29" s="1341"/>
      <c r="K29" s="1339" t="s">
        <v>961</v>
      </c>
      <c r="L29" s="1340"/>
      <c r="M29" s="1340"/>
      <c r="N29" s="1340"/>
      <c r="O29" s="1341"/>
      <c r="P29" s="1339" t="s">
        <v>142</v>
      </c>
      <c r="Q29" s="1340"/>
      <c r="R29" s="1341"/>
      <c r="S29" s="1372" t="s">
        <v>143</v>
      </c>
      <c r="T29" s="1373"/>
    </row>
    <row r="30" spans="1:20" ht="15" x14ac:dyDescent="0.3">
      <c r="A30" s="354" t="s">
        <v>144</v>
      </c>
      <c r="B30" s="356"/>
      <c r="C30" s="356"/>
      <c r="D30" s="356"/>
      <c r="E30" s="1376"/>
      <c r="F30" s="1377"/>
      <c r="G30" s="1377"/>
      <c r="H30" s="1377"/>
      <c r="I30" s="1377"/>
      <c r="J30" s="1378"/>
      <c r="K30" s="1387"/>
      <c r="L30" s="1388"/>
      <c r="M30" s="1388"/>
      <c r="N30" s="1388"/>
      <c r="O30" s="1389"/>
      <c r="P30" s="1336"/>
      <c r="Q30" s="1337"/>
      <c r="R30" s="1338"/>
      <c r="S30" s="1344"/>
      <c r="T30" s="1345"/>
    </row>
    <row r="31" spans="1:20" ht="15" x14ac:dyDescent="0.3">
      <c r="A31" s="357" t="s">
        <v>129</v>
      </c>
      <c r="B31" s="343"/>
      <c r="C31" s="358"/>
      <c r="D31" s="358"/>
      <c r="E31" s="1346">
        <v>2658192700</v>
      </c>
      <c r="F31" s="1346"/>
      <c r="G31" s="1346"/>
      <c r="H31" s="1346"/>
      <c r="I31" s="1346"/>
      <c r="J31" s="1346"/>
      <c r="K31" s="1346">
        <v>6232058197</v>
      </c>
      <c r="L31" s="1346"/>
      <c r="M31" s="1346"/>
      <c r="N31" s="1346"/>
      <c r="O31" s="1346"/>
      <c r="P31" s="1336">
        <f>K31-E31</f>
        <v>3573865497</v>
      </c>
      <c r="Q31" s="1337"/>
      <c r="R31" s="1338"/>
      <c r="S31" s="1342">
        <f>(P31/K31)*100</f>
        <v>57.346471807987832</v>
      </c>
      <c r="T31" s="1343"/>
    </row>
    <row r="32" spans="1:20" ht="15" x14ac:dyDescent="0.3">
      <c r="A32" s="360" t="s">
        <v>134</v>
      </c>
      <c r="B32" s="355"/>
      <c r="C32" s="361"/>
      <c r="D32" s="361"/>
      <c r="E32" s="1346">
        <v>8707075281</v>
      </c>
      <c r="F32" s="1346"/>
      <c r="G32" s="1346"/>
      <c r="H32" s="1346"/>
      <c r="I32" s="1346"/>
      <c r="J32" s="1346"/>
      <c r="K32" s="1346">
        <v>26344048071</v>
      </c>
      <c r="L32" s="1346"/>
      <c r="M32" s="1346"/>
      <c r="N32" s="1346"/>
      <c r="O32" s="1346"/>
      <c r="P32" s="1336">
        <f t="shared" ref="P32:P33" si="1">K32-E32</f>
        <v>17636972790</v>
      </c>
      <c r="Q32" s="1337"/>
      <c r="R32" s="1338"/>
      <c r="S32" s="1342">
        <f t="shared" ref="S32:S33" si="2">(P32/K32)*100</f>
        <v>66.948605402125324</v>
      </c>
      <c r="T32" s="1343"/>
    </row>
    <row r="33" spans="1:20" ht="15" x14ac:dyDescent="0.3">
      <c r="A33" s="362" t="s">
        <v>145</v>
      </c>
      <c r="B33" s="363"/>
      <c r="C33" s="363"/>
      <c r="D33" s="363"/>
      <c r="E33" s="1325">
        <f>E31-E32</f>
        <v>-6048882581</v>
      </c>
      <c r="F33" s="1326"/>
      <c r="G33" s="1326"/>
      <c r="H33" s="1326"/>
      <c r="I33" s="1326"/>
      <c r="J33" s="1327"/>
      <c r="K33" s="1325">
        <f>K31-K32</f>
        <v>-20111989874</v>
      </c>
      <c r="L33" s="1326"/>
      <c r="M33" s="1326"/>
      <c r="N33" s="1326"/>
      <c r="O33" s="1327"/>
      <c r="P33" s="1336">
        <f t="shared" si="1"/>
        <v>-14063107293</v>
      </c>
      <c r="Q33" s="1337"/>
      <c r="R33" s="1338"/>
      <c r="S33" s="1342">
        <f t="shared" si="2"/>
        <v>69.923997481622834</v>
      </c>
      <c r="T33" s="1343"/>
    </row>
    <row r="34" spans="1:20" ht="15" x14ac:dyDescent="0.3">
      <c r="A34" s="362" t="s">
        <v>146</v>
      </c>
      <c r="B34" s="355"/>
      <c r="C34" s="364"/>
      <c r="D34" s="364"/>
      <c r="E34" s="1332"/>
      <c r="F34" s="1333"/>
      <c r="G34" s="1333"/>
      <c r="H34" s="1333"/>
      <c r="I34" s="1333"/>
      <c r="J34" s="1334"/>
      <c r="K34" s="1336"/>
      <c r="L34" s="1337"/>
      <c r="M34" s="1337"/>
      <c r="N34" s="1337"/>
      <c r="O34" s="1338"/>
      <c r="P34" s="1336"/>
      <c r="Q34" s="1337"/>
      <c r="R34" s="1338"/>
      <c r="S34" s="1342"/>
      <c r="T34" s="1343"/>
    </row>
    <row r="35" spans="1:20" ht="15" x14ac:dyDescent="0.3">
      <c r="A35" s="360" t="s">
        <v>147</v>
      </c>
      <c r="B35" s="355"/>
      <c r="C35" s="364"/>
      <c r="D35" s="364"/>
      <c r="E35" s="1332">
        <v>0</v>
      </c>
      <c r="F35" s="1333"/>
      <c r="G35" s="1333"/>
      <c r="H35" s="1333"/>
      <c r="I35" s="1333"/>
      <c r="J35" s="1334"/>
      <c r="K35" s="1336">
        <v>0</v>
      </c>
      <c r="L35" s="1337"/>
      <c r="M35" s="1337"/>
      <c r="N35" s="1337"/>
      <c r="O35" s="1338"/>
      <c r="P35" s="1336">
        <v>0</v>
      </c>
      <c r="Q35" s="1337"/>
      <c r="R35" s="1338"/>
      <c r="S35" s="1342">
        <v>0</v>
      </c>
      <c r="T35" s="1343"/>
    </row>
    <row r="36" spans="1:20" ht="15" x14ac:dyDescent="0.3">
      <c r="A36" s="360" t="s">
        <v>148</v>
      </c>
      <c r="B36" s="355"/>
      <c r="C36" s="364"/>
      <c r="D36" s="364"/>
      <c r="E36" s="1332">
        <v>0</v>
      </c>
      <c r="F36" s="1333"/>
      <c r="G36" s="1333"/>
      <c r="H36" s="1333"/>
      <c r="I36" s="1333"/>
      <c r="J36" s="1334"/>
      <c r="K36" s="1336">
        <v>0</v>
      </c>
      <c r="L36" s="1337"/>
      <c r="M36" s="1337"/>
      <c r="N36" s="1337"/>
      <c r="O36" s="1338"/>
      <c r="P36" s="1336">
        <v>0</v>
      </c>
      <c r="Q36" s="1337"/>
      <c r="R36" s="1338"/>
      <c r="S36" s="1342">
        <v>0</v>
      </c>
      <c r="T36" s="1343"/>
    </row>
    <row r="37" spans="1:20" ht="15" x14ac:dyDescent="0.3">
      <c r="A37" s="362" t="s">
        <v>149</v>
      </c>
      <c r="B37" s="363"/>
      <c r="C37" s="363"/>
      <c r="D37" s="363"/>
      <c r="E37" s="1325">
        <v>0</v>
      </c>
      <c r="F37" s="1326"/>
      <c r="G37" s="1326"/>
      <c r="H37" s="1326"/>
      <c r="I37" s="1326"/>
      <c r="J37" s="1327"/>
      <c r="K37" s="1325">
        <v>0</v>
      </c>
      <c r="L37" s="1326"/>
      <c r="M37" s="1326"/>
      <c r="N37" s="1326"/>
      <c r="O37" s="1327"/>
      <c r="P37" s="1336">
        <v>0</v>
      </c>
      <c r="Q37" s="1337"/>
      <c r="R37" s="1338"/>
      <c r="S37" s="1342">
        <v>0</v>
      </c>
      <c r="T37" s="1343"/>
    </row>
    <row r="38" spans="1:20" ht="15" x14ac:dyDescent="0.3">
      <c r="A38" s="362" t="s">
        <v>150</v>
      </c>
      <c r="B38" s="363"/>
      <c r="C38" s="363"/>
      <c r="D38" s="363"/>
      <c r="E38" s="1325">
        <f>E33-E37</f>
        <v>-6048882581</v>
      </c>
      <c r="F38" s="1326"/>
      <c r="G38" s="1326"/>
      <c r="H38" s="1326"/>
      <c r="I38" s="1326"/>
      <c r="J38" s="1327"/>
      <c r="K38" s="1325">
        <f>K33-K37</f>
        <v>-20111989874</v>
      </c>
      <c r="L38" s="1326"/>
      <c r="M38" s="1326"/>
      <c r="N38" s="1326"/>
      <c r="O38" s="1327"/>
      <c r="P38" s="1336">
        <f>P33-P37</f>
        <v>-14063107293</v>
      </c>
      <c r="Q38" s="1337"/>
      <c r="R38" s="1338"/>
      <c r="S38" s="1342">
        <f t="shared" ref="S38" si="3">(P38/K38)*100</f>
        <v>69.923997481622834</v>
      </c>
      <c r="T38" s="1343"/>
    </row>
    <row r="39" spans="1:20" ht="15" x14ac:dyDescent="0.2">
      <c r="A39" s="368"/>
      <c r="B39" s="365"/>
      <c r="C39" s="365"/>
      <c r="D39" s="365"/>
      <c r="E39" s="377"/>
      <c r="F39" s="359"/>
      <c r="G39" s="359"/>
      <c r="H39" s="359"/>
      <c r="I39" s="359"/>
      <c r="J39" s="359"/>
      <c r="K39" s="359"/>
      <c r="L39" s="359"/>
      <c r="M39" s="359"/>
      <c r="N39" s="359"/>
      <c r="O39" s="359"/>
      <c r="P39" s="359"/>
      <c r="Q39" s="359"/>
      <c r="R39" s="359"/>
      <c r="S39" s="381"/>
      <c r="T39" s="381"/>
    </row>
    <row r="40" spans="1:20" ht="15" x14ac:dyDescent="0.2">
      <c r="A40" s="368"/>
      <c r="B40" s="365"/>
      <c r="C40" s="365"/>
      <c r="D40" s="365"/>
      <c r="E40" s="377"/>
      <c r="F40" s="359"/>
      <c r="G40" s="359"/>
      <c r="H40" s="359"/>
      <c r="I40" s="359"/>
      <c r="J40" s="359"/>
      <c r="K40" s="359"/>
      <c r="L40" s="359"/>
      <c r="M40" s="359"/>
      <c r="N40" s="359"/>
      <c r="O40" s="359"/>
      <c r="P40" s="359"/>
      <c r="Q40" s="359"/>
      <c r="R40" s="359"/>
      <c r="S40" s="381"/>
      <c r="T40" s="381"/>
    </row>
    <row r="41" spans="1:20" ht="15.75" x14ac:dyDescent="0.2">
      <c r="A41" s="369"/>
      <c r="B41" s="344"/>
      <c r="C41" s="370" t="s">
        <v>151</v>
      </c>
      <c r="D41" s="370"/>
      <c r="E41" s="393"/>
      <c r="F41" s="370"/>
      <c r="G41" s="370"/>
      <c r="H41" s="370"/>
      <c r="I41" s="370"/>
      <c r="J41" s="371"/>
      <c r="K41" s="371"/>
      <c r="L41" s="371"/>
      <c r="M41" s="371"/>
      <c r="N41" s="371"/>
      <c r="O41" s="371"/>
      <c r="P41" s="371"/>
      <c r="Q41" s="371"/>
      <c r="R41" s="371"/>
      <c r="S41" s="374"/>
      <c r="T41" s="374"/>
    </row>
    <row r="42" spans="1:20" ht="38.25" customHeight="1" x14ac:dyDescent="0.2">
      <c r="A42" s="369"/>
      <c r="B42" s="370"/>
      <c r="C42" s="346" t="s">
        <v>152</v>
      </c>
      <c r="D42" s="1382" t="s">
        <v>966</v>
      </c>
      <c r="E42" s="1382"/>
      <c r="F42" s="1382"/>
      <c r="G42" s="1382"/>
      <c r="H42" s="1382"/>
      <c r="I42" s="1382"/>
      <c r="J42" s="1382"/>
      <c r="K42" s="1382"/>
      <c r="L42" s="1382"/>
      <c r="M42" s="1382"/>
      <c r="N42" s="1382"/>
      <c r="O42" s="1382"/>
      <c r="P42" s="1382"/>
      <c r="Q42" s="1382"/>
      <c r="R42" s="1382"/>
      <c r="S42" s="1382"/>
      <c r="T42" s="1382"/>
    </row>
    <row r="43" spans="1:20" ht="31.5" customHeight="1" x14ac:dyDescent="0.2">
      <c r="A43" s="369"/>
      <c r="B43" s="370"/>
      <c r="C43" s="372" t="s">
        <v>153</v>
      </c>
      <c r="D43" s="1348" t="s">
        <v>967</v>
      </c>
      <c r="E43" s="1348"/>
      <c r="F43" s="1348"/>
      <c r="G43" s="1348"/>
      <c r="H43" s="1348"/>
      <c r="I43" s="1348"/>
      <c r="J43" s="1348"/>
      <c r="K43" s="1348"/>
      <c r="L43" s="1348"/>
      <c r="M43" s="1348"/>
      <c r="N43" s="1348"/>
      <c r="O43" s="1348"/>
      <c r="P43" s="1348"/>
      <c r="Q43" s="1348"/>
      <c r="R43" s="1348"/>
      <c r="S43" s="1348"/>
      <c r="T43" s="1348"/>
    </row>
    <row r="44" spans="1:20" ht="15.75" customHeight="1" x14ac:dyDescent="0.2">
      <c r="A44" s="369"/>
      <c r="B44" s="370"/>
      <c r="C44" s="372" t="s">
        <v>154</v>
      </c>
      <c r="D44" s="1348" t="s">
        <v>958</v>
      </c>
      <c r="E44" s="1348"/>
      <c r="F44" s="1348"/>
      <c r="G44" s="1348"/>
      <c r="H44" s="1348"/>
      <c r="I44" s="1348"/>
      <c r="J44" s="1348"/>
      <c r="K44" s="1348"/>
      <c r="L44" s="1348"/>
      <c r="M44" s="1348"/>
      <c r="N44" s="1348"/>
      <c r="O44" s="1348"/>
      <c r="P44" s="1348"/>
      <c r="Q44" s="1348"/>
      <c r="R44" s="1348"/>
      <c r="S44" s="1348"/>
      <c r="T44" s="1348"/>
    </row>
    <row r="45" spans="1:20" ht="15.75" x14ac:dyDescent="0.2">
      <c r="A45" s="369"/>
      <c r="B45" s="372"/>
      <c r="C45" s="372"/>
      <c r="D45" s="372"/>
      <c r="E45" s="393"/>
      <c r="F45" s="372"/>
      <c r="G45" s="372"/>
      <c r="H45" s="372"/>
      <c r="I45" s="372"/>
      <c r="J45" s="372"/>
      <c r="K45" s="372"/>
      <c r="L45" s="371"/>
      <c r="M45" s="371"/>
      <c r="N45" s="371"/>
      <c r="O45" s="371"/>
      <c r="P45" s="371"/>
      <c r="Q45" s="371"/>
      <c r="R45" s="371"/>
      <c r="S45" s="374"/>
      <c r="T45" s="374"/>
    </row>
    <row r="46" spans="1:20" ht="15.75" x14ac:dyDescent="0.2">
      <c r="A46" s="369"/>
      <c r="B46" s="340" t="s">
        <v>962</v>
      </c>
      <c r="C46" s="373"/>
      <c r="D46" s="373"/>
      <c r="E46" s="376"/>
      <c r="F46" s="373"/>
      <c r="G46" s="373"/>
      <c r="H46" s="373"/>
      <c r="I46" s="373"/>
      <c r="J46" s="373"/>
      <c r="K46" s="373"/>
      <c r="L46" s="374"/>
      <c r="M46" s="374"/>
      <c r="N46" s="374"/>
      <c r="O46" s="374"/>
      <c r="P46" s="374"/>
      <c r="Q46" s="374"/>
      <c r="R46" s="374"/>
      <c r="S46" s="374"/>
      <c r="T46" s="374"/>
    </row>
    <row r="47" spans="1:20" ht="15.75" x14ac:dyDescent="0.2">
      <c r="A47" s="369"/>
      <c r="B47" s="372"/>
      <c r="C47" s="373" t="s">
        <v>160</v>
      </c>
      <c r="D47" s="1328" t="s">
        <v>162</v>
      </c>
      <c r="E47" s="1328"/>
      <c r="F47" s="1328"/>
      <c r="G47" s="1328"/>
      <c r="H47" s="1328"/>
      <c r="I47" s="1328"/>
      <c r="J47" s="1328"/>
      <c r="K47" s="1328"/>
      <c r="L47" s="1328"/>
      <c r="M47" s="1328"/>
      <c r="N47" s="1328"/>
      <c r="O47" s="1328"/>
      <c r="P47" s="1328"/>
      <c r="Q47" s="1328"/>
      <c r="R47" s="1328"/>
      <c r="S47" s="1328"/>
      <c r="T47" s="1328"/>
    </row>
    <row r="48" spans="1:20" ht="15.75" x14ac:dyDescent="0.2">
      <c r="A48" s="369"/>
      <c r="B48" s="372"/>
      <c r="C48" s="373" t="s">
        <v>153</v>
      </c>
      <c r="D48" s="1328" t="s">
        <v>177</v>
      </c>
      <c r="E48" s="1328"/>
      <c r="F48" s="1328"/>
      <c r="G48" s="1328"/>
      <c r="H48" s="1328"/>
      <c r="I48" s="1328"/>
      <c r="J48" s="1328"/>
      <c r="K48" s="1328"/>
      <c r="L48" s="1328"/>
      <c r="M48" s="1328"/>
      <c r="N48" s="1328"/>
      <c r="O48" s="1328"/>
      <c r="P48" s="1328"/>
      <c r="Q48" s="1328"/>
      <c r="R48" s="1328"/>
      <c r="S48" s="1328"/>
      <c r="T48" s="1328"/>
    </row>
  </sheetData>
  <mergeCells count="95">
    <mergeCell ref="E30:J30"/>
    <mergeCell ref="P32:R32"/>
    <mergeCell ref="P33:R33"/>
    <mergeCell ref="L14:P14"/>
    <mergeCell ref="D42:T42"/>
    <mergeCell ref="L16:P16"/>
    <mergeCell ref="C27:T27"/>
    <mergeCell ref="E32:J32"/>
    <mergeCell ref="Q17:T17"/>
    <mergeCell ref="A29:D29"/>
    <mergeCell ref="E33:J33"/>
    <mergeCell ref="K36:O36"/>
    <mergeCell ref="K30:O30"/>
    <mergeCell ref="S35:T35"/>
    <mergeCell ref="E34:J34"/>
    <mergeCell ref="K37:O37"/>
    <mergeCell ref="S37:T37"/>
    <mergeCell ref="A1:T1"/>
    <mergeCell ref="Q12:T12"/>
    <mergeCell ref="A2:T2"/>
    <mergeCell ref="Q11:T11"/>
    <mergeCell ref="S29:T29"/>
    <mergeCell ref="P29:R29"/>
    <mergeCell ref="E29:J29"/>
    <mergeCell ref="A4:A7"/>
    <mergeCell ref="G15:K15"/>
    <mergeCell ref="L11:P11"/>
    <mergeCell ref="L13:P13"/>
    <mergeCell ref="L12:P12"/>
    <mergeCell ref="L15:P15"/>
    <mergeCell ref="G12:K12"/>
    <mergeCell ref="A24:T24"/>
    <mergeCell ref="D43:T43"/>
    <mergeCell ref="K35:O35"/>
    <mergeCell ref="S31:T31"/>
    <mergeCell ref="A9:F10"/>
    <mergeCell ref="G9:K10"/>
    <mergeCell ref="L9:P10"/>
    <mergeCell ref="K31:O31"/>
    <mergeCell ref="K33:O33"/>
    <mergeCell ref="S32:T32"/>
    <mergeCell ref="K32:O32"/>
    <mergeCell ref="P34:R34"/>
    <mergeCell ref="S33:T33"/>
    <mergeCell ref="P35:R35"/>
    <mergeCell ref="P36:R36"/>
    <mergeCell ref="S36:T36"/>
    <mergeCell ref="G11:K11"/>
    <mergeCell ref="D48:T48"/>
    <mergeCell ref="Q20:T20"/>
    <mergeCell ref="Q19:T19"/>
    <mergeCell ref="S38:T38"/>
    <mergeCell ref="C4:T4"/>
    <mergeCell ref="D44:T44"/>
    <mergeCell ref="E36:J36"/>
    <mergeCell ref="E38:J38"/>
    <mergeCell ref="E37:J37"/>
    <mergeCell ref="P38:R38"/>
    <mergeCell ref="Q9:T10"/>
    <mergeCell ref="G13:K13"/>
    <mergeCell ref="G14:K14"/>
    <mergeCell ref="G16:K16"/>
    <mergeCell ref="C6:T6"/>
    <mergeCell ref="C7:T7"/>
    <mergeCell ref="D47:T47"/>
    <mergeCell ref="Q21:T21"/>
    <mergeCell ref="G21:K21"/>
    <mergeCell ref="G22:K22"/>
    <mergeCell ref="L22:P22"/>
    <mergeCell ref="E35:J35"/>
    <mergeCell ref="A28:T28"/>
    <mergeCell ref="P37:R37"/>
    <mergeCell ref="K29:O29"/>
    <mergeCell ref="K34:O34"/>
    <mergeCell ref="S34:T34"/>
    <mergeCell ref="K38:O38"/>
    <mergeCell ref="S30:T30"/>
    <mergeCell ref="E31:J31"/>
    <mergeCell ref="P30:R30"/>
    <mergeCell ref="P31:R31"/>
    <mergeCell ref="Q22:T22"/>
    <mergeCell ref="G19:K19"/>
    <mergeCell ref="L19:P19"/>
    <mergeCell ref="L21:P21"/>
    <mergeCell ref="L20:P20"/>
    <mergeCell ref="G20:K20"/>
    <mergeCell ref="G18:K18"/>
    <mergeCell ref="G17:K17"/>
    <mergeCell ref="L18:P18"/>
    <mergeCell ref="L17:P17"/>
    <mergeCell ref="Q13:T13"/>
    <mergeCell ref="Q16:T16"/>
    <mergeCell ref="Q18:T18"/>
    <mergeCell ref="Q14:T14"/>
    <mergeCell ref="Q15:T1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CALK Umum</vt:lpstr>
      <vt:lpstr>CALK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Asus</cp:lastModifiedBy>
  <cp:lastPrinted>2021-04-26T04:23:46Z</cp:lastPrinted>
  <dcterms:created xsi:type="dcterms:W3CDTF">2021-04-08T05:45:33Z</dcterms:created>
  <dcterms:modified xsi:type="dcterms:W3CDTF">2022-11-14T09:15:25Z</dcterms:modified>
</cp:coreProperties>
</file>