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8640" tabRatio="932" firstSheet="13" activeTab="28"/>
  </bookViews>
  <sheets>
    <sheet name="REKAP KNTR (2)krgi 5 M" sheetId="48" r:id="rId1"/>
    <sheet name="rekap i krgi 5 M" sheetId="47" r:id="rId2"/>
    <sheet name="rekap i" sheetId="1" r:id="rId3"/>
    <sheet name="REKAP KNTR" sheetId="42" r:id="rId4"/>
    <sheet name="REKAP Non Rutin" sheetId="57" r:id="rId5"/>
    <sheet name="rekap 2018" sheetId="56" r:id="rId6"/>
    <sheet name="REKAP Dinas 2018 krim Dedek" sheetId="54" r:id="rId7"/>
    <sheet name="REKAP Dinas bid.budaya 18" sheetId="58" r:id="rId8"/>
    <sheet name="REKAP TTD P.SEKDA" sheetId="51" r:id="rId9"/>
    <sheet name="REKAP DINAS PERUBHN 17" sheetId="49" r:id="rId10"/>
    <sheet name="REKAP DINAS PERUBHN 18" sheetId="59" r:id="rId11"/>
    <sheet name="rekap II Dinas 17" sheetId="50" r:id="rId12"/>
    <sheet name="gaji kantor" sheetId="23" r:id="rId13"/>
    <sheet name="materai" sheetId="4" r:id="rId14"/>
    <sheet name="listrik" sheetId="5" r:id="rId15"/>
    <sheet name="Keu" sheetId="52" r:id="rId16"/>
    <sheet name="ATK" sheetId="7" r:id="rId17"/>
    <sheet name="Cetak" sheetId="8" r:id="rId18"/>
    <sheet name="elektr " sheetId="9" r:id="rId19"/>
    <sheet name="kebersihan" sheetId="10" r:id="rId20"/>
    <sheet name="Koran" sheetId="11" r:id="rId21"/>
    <sheet name="makan&amp;snack" sheetId="53" r:id="rId22"/>
    <sheet name="Per Luar Daerah" sheetId="13" r:id="rId23"/>
    <sheet name="Perj dlm daerah" sheetId="14" r:id="rId24"/>
    <sheet name="lembur" sheetId="15" r:id="rId25"/>
    <sheet name="gaji pnjg mlm" sheetId="16" r:id="rId26"/>
    <sheet name="cat Rutin" sheetId="18" r:id="rId27"/>
    <sheet name="kendrn" sheetId="19" r:id="rId28"/>
    <sheet name="komputer" sheetId="20" r:id="rId29"/>
    <sheet name="Meja Kursi" sheetId="21" r:id="rId30"/>
    <sheet name="Sheet1" sheetId="43" r:id="rId31"/>
    <sheet name="gaji kontrak" sheetId="17" r:id="rId32"/>
    <sheet name="gaji kontrak 2" sheetId="44" r:id="rId33"/>
    <sheet name="Pendptn" sheetId="45" r:id="rId34"/>
    <sheet name="rekap 3" sheetId="46" r:id="rId35"/>
  </sheets>
  <definedNames>
    <definedName name="_xlnm.Print_Area" localSheetId="26">'cat Rutin'!$A$1:$AM$96</definedName>
    <definedName name="_xlnm.Print_Area" localSheetId="24">lembur!$A$1:$AJ$88</definedName>
    <definedName name="_xlnm.Print_Area" localSheetId="6">'REKAP Dinas 2018 krim Dedek'!$A$1:$AJ$97</definedName>
    <definedName name="_xlnm.Print_Area" localSheetId="7">'REKAP Dinas bid.budaya 18'!$A$1:$AJ$38</definedName>
    <definedName name="_xlnm.Print_Area" localSheetId="9">'REKAP DINAS PERUBHN 17'!$A$1:$AR$107</definedName>
    <definedName name="_xlnm.Print_Area" localSheetId="10">'REKAP DINAS PERUBHN 18'!$A$1:$AR$107</definedName>
    <definedName name="_xlnm.Print_Area" localSheetId="3">'REKAP KNTR'!$A$1:$AJ$88</definedName>
    <definedName name="_xlnm.Print_Area" localSheetId="0">'REKAP KNTR (2)krgi 5 M'!$A$1:$AJ$87</definedName>
    <definedName name="_xlnm.Print_Area" localSheetId="4">'REKAP Non Rutin'!$A$1:$AJ$64</definedName>
  </definedNames>
  <calcPr calcId="124519"/>
</workbook>
</file>

<file path=xl/calcChain.xml><?xml version="1.0" encoding="utf-8"?>
<calcChain xmlns="http://schemas.openxmlformats.org/spreadsheetml/2006/main">
  <c r="N109" i="59"/>
  <c r="D98"/>
  <c r="S89"/>
  <c r="T89" s="1"/>
  <c r="S88"/>
  <c r="T88" s="1"/>
  <c r="S87"/>
  <c r="T87" s="1"/>
  <c r="N87"/>
  <c r="S86"/>
  <c r="T86" s="1"/>
  <c r="T85" s="1"/>
  <c r="N86"/>
  <c r="S85"/>
  <c r="R85"/>
  <c r="Q85"/>
  <c r="P85"/>
  <c r="P91" s="1"/>
  <c r="O85"/>
  <c r="M85"/>
  <c r="L85"/>
  <c r="K85"/>
  <c r="J85"/>
  <c r="N85" s="1"/>
  <c r="S84"/>
  <c r="T84" s="1"/>
  <c r="S83"/>
  <c r="T83" s="1"/>
  <c r="N83"/>
  <c r="S82"/>
  <c r="N82"/>
  <c r="T82" s="1"/>
  <c r="S81"/>
  <c r="T81" s="1"/>
  <c r="N81"/>
  <c r="R79"/>
  <c r="Q79"/>
  <c r="P79"/>
  <c r="O79"/>
  <c r="O91" s="1"/>
  <c r="M79"/>
  <c r="L79"/>
  <c r="K79"/>
  <c r="J79"/>
  <c r="N79" s="1"/>
  <c r="S78"/>
  <c r="T78" s="1"/>
  <c r="S77"/>
  <c r="T77" s="1"/>
  <c r="S76"/>
  <c r="T76" s="1"/>
  <c r="S75"/>
  <c r="T75" s="1"/>
  <c r="S74"/>
  <c r="T74" s="1"/>
  <c r="S73"/>
  <c r="T73" s="1"/>
  <c r="S72"/>
  <c r="T72" s="1"/>
  <c r="S71"/>
  <c r="T71" s="1"/>
  <c r="S70"/>
  <c r="T70" s="1"/>
  <c r="S69"/>
  <c r="T69" s="1"/>
  <c r="S68"/>
  <c r="T68" s="1"/>
  <c r="S67"/>
  <c r="T67" s="1"/>
  <c r="N67"/>
  <c r="T66"/>
  <c r="N66"/>
  <c r="S65"/>
  <c r="N65"/>
  <c r="T65" s="1"/>
  <c r="S64"/>
  <c r="T64" s="1"/>
  <c r="N64"/>
  <c r="S63"/>
  <c r="N63"/>
  <c r="T63" s="1"/>
  <c r="S62"/>
  <c r="T62" s="1"/>
  <c r="N62"/>
  <c r="S61"/>
  <c r="T61" s="1"/>
  <c r="U61" s="1"/>
  <c r="N61"/>
  <c r="N60"/>
  <c r="S60" s="1"/>
  <c r="T60" s="1"/>
  <c r="M59"/>
  <c r="N59" s="1"/>
  <c r="S59" s="1"/>
  <c r="T59" s="1"/>
  <c r="N58"/>
  <c r="S58" s="1"/>
  <c r="R57"/>
  <c r="Q57"/>
  <c r="P57"/>
  <c r="O57"/>
  <c r="M57"/>
  <c r="M91" s="1"/>
  <c r="L57"/>
  <c r="L91" s="1"/>
  <c r="K57"/>
  <c r="K91" s="1"/>
  <c r="J57"/>
  <c r="J91" s="1"/>
  <c r="T56"/>
  <c r="S56"/>
  <c r="T55"/>
  <c r="S55"/>
  <c r="T54"/>
  <c r="S54"/>
  <c r="T53"/>
  <c r="S53"/>
  <c r="T52"/>
  <c r="S52"/>
  <c r="R51"/>
  <c r="N51"/>
  <c r="S51" s="1"/>
  <c r="S50"/>
  <c r="N50"/>
  <c r="T50" s="1"/>
  <c r="U50" s="1"/>
  <c r="S49"/>
  <c r="T49" s="1"/>
  <c r="R49"/>
  <c r="N49"/>
  <c r="S48"/>
  <c r="T48" s="1"/>
  <c r="R48"/>
  <c r="N48"/>
  <c r="S47"/>
  <c r="T47" s="1"/>
  <c r="R47"/>
  <c r="N47"/>
  <c r="S45"/>
  <c r="T45" s="1"/>
  <c r="R45"/>
  <c r="N45"/>
  <c r="R44"/>
  <c r="Q44"/>
  <c r="P44"/>
  <c r="O44"/>
  <c r="M44"/>
  <c r="L44"/>
  <c r="K44"/>
  <c r="J44"/>
  <c r="N44" s="1"/>
  <c r="T43"/>
  <c r="S43"/>
  <c r="T42"/>
  <c r="S42"/>
  <c r="T41"/>
  <c r="S41"/>
  <c r="T40"/>
  <c r="N40"/>
  <c r="S39"/>
  <c r="T39" s="1"/>
  <c r="U39" s="1"/>
  <c r="R39"/>
  <c r="N39"/>
  <c r="W38"/>
  <c r="R38"/>
  <c r="Q38"/>
  <c r="Q33" s="1"/>
  <c r="L38"/>
  <c r="N38" s="1"/>
  <c r="R37"/>
  <c r="S37" s="1"/>
  <c r="T37" s="1"/>
  <c r="U37" s="1"/>
  <c r="N37"/>
  <c r="S36"/>
  <c r="T36" s="1"/>
  <c r="U36" s="1"/>
  <c r="R36"/>
  <c r="N36"/>
  <c r="R35"/>
  <c r="S35" s="1"/>
  <c r="T35" s="1"/>
  <c r="U35" s="1"/>
  <c r="N35"/>
  <c r="R34"/>
  <c r="S34" s="1"/>
  <c r="N34"/>
  <c r="R33"/>
  <c r="P33"/>
  <c r="W33" s="1"/>
  <c r="W34" s="1"/>
  <c r="O33"/>
  <c r="M33"/>
  <c r="L33"/>
  <c r="K33"/>
  <c r="J33"/>
  <c r="N33" s="1"/>
  <c r="R32"/>
  <c r="S32" s="1"/>
  <c r="T32" s="1"/>
  <c r="U32" s="1"/>
  <c r="N32"/>
  <c r="S31"/>
  <c r="T31" s="1"/>
  <c r="U31" s="1"/>
  <c r="R31"/>
  <c r="N31"/>
  <c r="R30"/>
  <c r="S30" s="1"/>
  <c r="T30" s="1"/>
  <c r="U30" s="1"/>
  <c r="N30"/>
  <c r="Q29"/>
  <c r="M29"/>
  <c r="R29" s="1"/>
  <c r="R28" s="1"/>
  <c r="L29"/>
  <c r="N29" s="1"/>
  <c r="Q28"/>
  <c r="P28"/>
  <c r="O28"/>
  <c r="M28"/>
  <c r="L28"/>
  <c r="K28"/>
  <c r="J28"/>
  <c r="N28" s="1"/>
  <c r="Q27"/>
  <c r="M27"/>
  <c r="R27" s="1"/>
  <c r="L27"/>
  <c r="N27" s="1"/>
  <c r="S26"/>
  <c r="T26" s="1"/>
  <c r="U26" s="1"/>
  <c r="R26"/>
  <c r="N26"/>
  <c r="R25"/>
  <c r="S25" s="1"/>
  <c r="T25" s="1"/>
  <c r="U25" s="1"/>
  <c r="N25"/>
  <c r="S24"/>
  <c r="T24" s="1"/>
  <c r="U24" s="1"/>
  <c r="R24"/>
  <c r="N24"/>
  <c r="R23"/>
  <c r="S23" s="1"/>
  <c r="T23" s="1"/>
  <c r="U23" s="1"/>
  <c r="N23"/>
  <c r="S22"/>
  <c r="T22" s="1"/>
  <c r="U22" s="1"/>
  <c r="R22"/>
  <c r="N22"/>
  <c r="R21"/>
  <c r="S21" s="1"/>
  <c r="T21" s="1"/>
  <c r="U21" s="1"/>
  <c r="N21"/>
  <c r="S20"/>
  <c r="T20" s="1"/>
  <c r="U20" s="1"/>
  <c r="R20"/>
  <c r="N20"/>
  <c r="S19"/>
  <c r="N19"/>
  <c r="T19" s="1"/>
  <c r="U19" s="1"/>
  <c r="S18"/>
  <c r="N18"/>
  <c r="T18" s="1"/>
  <c r="U18" s="1"/>
  <c r="R17"/>
  <c r="S17" s="1"/>
  <c r="N17"/>
  <c r="S16"/>
  <c r="T16" s="1"/>
  <c r="U16" s="1"/>
  <c r="N16"/>
  <c r="S15"/>
  <c r="T15" s="1"/>
  <c r="R15"/>
  <c r="N15"/>
  <c r="Q14"/>
  <c r="P14"/>
  <c r="O14"/>
  <c r="M14"/>
  <c r="L14"/>
  <c r="K14"/>
  <c r="J14"/>
  <c r="N14" s="1"/>
  <c r="J14" i="58"/>
  <c r="K14"/>
  <c r="K32" s="1"/>
  <c r="L14"/>
  <c r="M14"/>
  <c r="J17"/>
  <c r="J32" s="1"/>
  <c r="K17"/>
  <c r="L17"/>
  <c r="L32" s="1"/>
  <c r="M17"/>
  <c r="M32" s="1"/>
  <c r="J20"/>
  <c r="K20"/>
  <c r="L20"/>
  <c r="M20"/>
  <c r="J25"/>
  <c r="K25"/>
  <c r="L25"/>
  <c r="M25"/>
  <c r="J29"/>
  <c r="K29"/>
  <c r="L29"/>
  <c r="M29"/>
  <c r="N17"/>
  <c r="J14" i="54"/>
  <c r="K14"/>
  <c r="L14"/>
  <c r="M14"/>
  <c r="N14"/>
  <c r="N15"/>
  <c r="N16"/>
  <c r="N17"/>
  <c r="N18"/>
  <c r="N19"/>
  <c r="N20"/>
  <c r="Q20"/>
  <c r="N21"/>
  <c r="N22"/>
  <c r="N23"/>
  <c r="N24"/>
  <c r="N25"/>
  <c r="N26"/>
  <c r="N27"/>
  <c r="J28"/>
  <c r="K28"/>
  <c r="N29"/>
  <c r="L30"/>
  <c r="L28" s="1"/>
  <c r="M30"/>
  <c r="N30" s="1"/>
  <c r="N31"/>
  <c r="N32"/>
  <c r="N33"/>
  <c r="J34"/>
  <c r="K34"/>
  <c r="N34" s="1"/>
  <c r="L34"/>
  <c r="M34"/>
  <c r="N35"/>
  <c r="N36"/>
  <c r="N37"/>
  <c r="N38"/>
  <c r="N39"/>
  <c r="N40"/>
  <c r="N41"/>
  <c r="J42"/>
  <c r="K42"/>
  <c r="N42" s="1"/>
  <c r="L42"/>
  <c r="M42"/>
  <c r="N43"/>
  <c r="N30" i="58"/>
  <c r="N28"/>
  <c r="N27"/>
  <c r="N26"/>
  <c r="N25"/>
  <c r="N24"/>
  <c r="N23"/>
  <c r="N22"/>
  <c r="N21"/>
  <c r="N20"/>
  <c r="N19"/>
  <c r="N18"/>
  <c r="N16"/>
  <c r="N15"/>
  <c r="N14"/>
  <c r="Y43" i="56"/>
  <c r="T35"/>
  <c r="T24"/>
  <c r="Y55"/>
  <c r="Y52"/>
  <c r="Y26"/>
  <c r="Y31" i="1"/>
  <c r="T25" i="56"/>
  <c r="T17"/>
  <c r="T18"/>
  <c r="T19"/>
  <c r="T21"/>
  <c r="L68" i="54"/>
  <c r="K68"/>
  <c r="J63"/>
  <c r="J49"/>
  <c r="L44"/>
  <c r="T34" i="59" l="1"/>
  <c r="U34" s="1"/>
  <c r="S27"/>
  <c r="T27" s="1"/>
  <c r="U27" s="1"/>
  <c r="S29"/>
  <c r="U15"/>
  <c r="T17"/>
  <c r="U17" s="1"/>
  <c r="S14"/>
  <c r="T51"/>
  <c r="U51" s="1"/>
  <c r="S44"/>
  <c r="T58"/>
  <c r="S57"/>
  <c r="T44"/>
  <c r="N91"/>
  <c r="Q91"/>
  <c r="S38"/>
  <c r="T38" s="1"/>
  <c r="U38" s="1"/>
  <c r="R14"/>
  <c r="R91" s="1"/>
  <c r="N57"/>
  <c r="S79"/>
  <c r="T79" s="1"/>
  <c r="N29" i="58"/>
  <c r="N32" s="1"/>
  <c r="N28" i="54"/>
  <c r="M28"/>
  <c r="M48" i="57"/>
  <c r="L48"/>
  <c r="K48"/>
  <c r="J48"/>
  <c r="D55"/>
  <c r="Q50"/>
  <c r="N46"/>
  <c r="N45"/>
  <c r="N44"/>
  <c r="M44"/>
  <c r="L44"/>
  <c r="K44"/>
  <c r="J44"/>
  <c r="N43"/>
  <c r="N42"/>
  <c r="N41"/>
  <c r="N40"/>
  <c r="M40"/>
  <c r="L40"/>
  <c r="K40"/>
  <c r="J40"/>
  <c r="N39"/>
  <c r="N38"/>
  <c r="N37"/>
  <c r="N36"/>
  <c r="N35"/>
  <c r="N34"/>
  <c r="N33"/>
  <c r="N32"/>
  <c r="M31"/>
  <c r="N31" s="1"/>
  <c r="N29" s="1"/>
  <c r="N30"/>
  <c r="L29"/>
  <c r="K29"/>
  <c r="J29"/>
  <c r="N28"/>
  <c r="N27"/>
  <c r="N26"/>
  <c r="N25"/>
  <c r="N24"/>
  <c r="N23"/>
  <c r="N22" s="1"/>
  <c r="M22"/>
  <c r="L22"/>
  <c r="K22"/>
  <c r="J22"/>
  <c r="N21"/>
  <c r="N20"/>
  <c r="L19"/>
  <c r="N19" s="1"/>
  <c r="N18"/>
  <c r="N17"/>
  <c r="N16"/>
  <c r="N15"/>
  <c r="M14"/>
  <c r="L14"/>
  <c r="K14"/>
  <c r="J14"/>
  <c r="M66" i="54"/>
  <c r="L66"/>
  <c r="K66"/>
  <c r="J66"/>
  <c r="N66" s="1"/>
  <c r="Q48"/>
  <c r="K49"/>
  <c r="L49"/>
  <c r="M49"/>
  <c r="N46"/>
  <c r="N45"/>
  <c r="N48"/>
  <c r="N76"/>
  <c r="N75"/>
  <c r="N62"/>
  <c r="Z56" i="19"/>
  <c r="V44" i="15"/>
  <c r="X48"/>
  <c r="X46"/>
  <c r="X37"/>
  <c r="X38"/>
  <c r="V26" i="13"/>
  <c r="V42" i="52"/>
  <c r="V26"/>
  <c r="V27"/>
  <c r="V26" i="5"/>
  <c r="N74" i="54"/>
  <c r="N70"/>
  <c r="N71"/>
  <c r="N72"/>
  <c r="N69"/>
  <c r="Y46" i="56"/>
  <c r="U46"/>
  <c r="U45"/>
  <c r="Q44"/>
  <c r="S44" s="1"/>
  <c r="O44"/>
  <c r="U44" s="1"/>
  <c r="Y31"/>
  <c r="Y32" s="1"/>
  <c r="T28"/>
  <c r="Y29" s="1"/>
  <c r="Y23"/>
  <c r="Y15"/>
  <c r="Y13"/>
  <c r="Y11"/>
  <c r="N78" i="54"/>
  <c r="N64"/>
  <c r="N65"/>
  <c r="M68"/>
  <c r="J68"/>
  <c r="M77"/>
  <c r="L77"/>
  <c r="K77"/>
  <c r="J77"/>
  <c r="M73"/>
  <c r="L73"/>
  <c r="K73"/>
  <c r="J73"/>
  <c r="N73" s="1"/>
  <c r="M63"/>
  <c r="L63"/>
  <c r="K63"/>
  <c r="N61"/>
  <c r="M61"/>
  <c r="L61"/>
  <c r="K61"/>
  <c r="J61"/>
  <c r="M47"/>
  <c r="L47"/>
  <c r="K47"/>
  <c r="J47"/>
  <c r="M44"/>
  <c r="K44"/>
  <c r="J44"/>
  <c r="U58" i="59" l="1"/>
  <c r="T57"/>
  <c r="W98" s="1"/>
  <c r="T14"/>
  <c r="S33"/>
  <c r="T33" s="1"/>
  <c r="U33" s="1"/>
  <c r="T29"/>
  <c r="U29" s="1"/>
  <c r="S28"/>
  <c r="T28" s="1"/>
  <c r="U28" s="1"/>
  <c r="N77" i="54"/>
  <c r="N68"/>
  <c r="Y49" i="56"/>
  <c r="Y47"/>
  <c r="N47" i="54"/>
  <c r="N14" i="57"/>
  <c r="M29"/>
  <c r="N63" i="54"/>
  <c r="N44"/>
  <c r="Z54" i="19"/>
  <c r="Y47" i="53"/>
  <c r="Z92" i="13"/>
  <c r="V41" i="19"/>
  <c r="Z46" i="52"/>
  <c r="D87" i="54"/>
  <c r="Q82"/>
  <c r="N67"/>
  <c r="N56"/>
  <c r="N55"/>
  <c r="N54"/>
  <c r="N53"/>
  <c r="N52"/>
  <c r="N51"/>
  <c r="N50"/>
  <c r="L80"/>
  <c r="K80"/>
  <c r="J80"/>
  <c r="S91" i="59" l="1"/>
  <c r="M80" i="54"/>
  <c r="N48" i="57"/>
  <c r="Q53"/>
  <c r="X40" i="15"/>
  <c r="X39"/>
  <c r="Z74" i="18"/>
  <c r="V71"/>
  <c r="W100" i="59" l="1"/>
  <c r="T91"/>
  <c r="W94" s="1"/>
  <c r="N49" i="54"/>
  <c r="N80" s="1"/>
  <c r="Z43" i="15"/>
  <c r="Q85" i="54"/>
  <c r="V50" i="14"/>
  <c r="V38"/>
  <c r="V41"/>
  <c r="V40"/>
  <c r="V36"/>
  <c r="V34"/>
  <c r="V39" i="13"/>
  <c r="V38" i="10"/>
  <c r="V39" i="9"/>
  <c r="V69" i="7"/>
  <c r="V35" i="53"/>
  <c r="V34"/>
  <c r="V30"/>
  <c r="I46"/>
  <c r="V32"/>
  <c r="V31"/>
  <c r="V45" i="52"/>
  <c r="V43" s="1"/>
  <c r="V41" s="1"/>
  <c r="F49" i="8"/>
  <c r="V40"/>
  <c r="Z41" s="1"/>
  <c r="V53" i="7"/>
  <c r="V68"/>
  <c r="V80"/>
  <c r="V82"/>
  <c r="V83"/>
  <c r="V50"/>
  <c r="V32"/>
  <c r="V33"/>
  <c r="V43"/>
  <c r="V33" i="52"/>
  <c r="V34"/>
  <c r="V35"/>
  <c r="V36"/>
  <c r="V37"/>
  <c r="V38"/>
  <c r="V39"/>
  <c r="V40"/>
  <c r="V32"/>
  <c r="V31" s="1"/>
  <c r="V29" s="1"/>
  <c r="H54"/>
  <c r="H53" i="4"/>
  <c r="H46" i="5"/>
  <c r="V37"/>
  <c r="V36" s="1"/>
  <c r="V34"/>
  <c r="V33" s="1"/>
  <c r="V31"/>
  <c r="AB50" i="4"/>
  <c r="AB53"/>
  <c r="Z48"/>
  <c r="Z50" s="1"/>
  <c r="Z52" s="1"/>
  <c r="T24" i="51"/>
  <c r="V24" s="1"/>
  <c r="T29"/>
  <c r="V29" s="1"/>
  <c r="T30"/>
  <c r="V30" s="1"/>
  <c r="T28"/>
  <c r="V28" s="1"/>
  <c r="Q26"/>
  <c r="N26"/>
  <c r="Q23"/>
  <c r="Q21" s="1"/>
  <c r="N23"/>
  <c r="Q18"/>
  <c r="Q17" s="1"/>
  <c r="Q32" s="1"/>
  <c r="N18"/>
  <c r="N17" s="1"/>
  <c r="S45"/>
  <c r="Q45"/>
  <c r="O45"/>
  <c r="U45" s="1"/>
  <c r="U44"/>
  <c r="U43"/>
  <c r="T18"/>
  <c r="T19" s="1"/>
  <c r="W38" i="49"/>
  <c r="K57"/>
  <c r="K14"/>
  <c r="K28"/>
  <c r="K33"/>
  <c r="S56"/>
  <c r="T56" s="1"/>
  <c r="S19"/>
  <c r="N109"/>
  <c r="R85"/>
  <c r="R79"/>
  <c r="R57"/>
  <c r="S84"/>
  <c r="T84" s="1"/>
  <c r="Y42" i="50"/>
  <c r="U42"/>
  <c r="U41"/>
  <c r="O40"/>
  <c r="Y27"/>
  <c r="Y28" s="1"/>
  <c r="T24"/>
  <c r="Y25" s="1"/>
  <c r="T22"/>
  <c r="T20"/>
  <c r="T31" s="1"/>
  <c r="T16"/>
  <c r="T17" s="1"/>
  <c r="T18" s="1"/>
  <c r="Y14"/>
  <c r="Y12"/>
  <c r="Y10"/>
  <c r="N15" i="49"/>
  <c r="S82"/>
  <c r="S83"/>
  <c r="S86"/>
  <c r="S87"/>
  <c r="S88"/>
  <c r="S89"/>
  <c r="T88"/>
  <c r="T89"/>
  <c r="S81"/>
  <c r="S79" s="1"/>
  <c r="S78"/>
  <c r="T78" s="1"/>
  <c r="S77"/>
  <c r="T77" s="1"/>
  <c r="S76"/>
  <c r="T76" s="1"/>
  <c r="S75"/>
  <c r="T75" s="1"/>
  <c r="S74"/>
  <c r="T74" s="1"/>
  <c r="S73"/>
  <c r="T73" s="1"/>
  <c r="S72"/>
  <c r="T72" s="1"/>
  <c r="S71"/>
  <c r="T71" s="1"/>
  <c r="S70"/>
  <c r="T70" s="1"/>
  <c r="S55"/>
  <c r="T55" s="1"/>
  <c r="V33" i="53" l="1"/>
  <c r="V31" i="14"/>
  <c r="Y45" i="50"/>
  <c r="Y43"/>
  <c r="T26" i="51"/>
  <c r="V26" s="1"/>
  <c r="T23"/>
  <c r="V23" s="1"/>
  <c r="V29" i="53"/>
  <c r="V48" i="52"/>
  <c r="Z49" i="4"/>
  <c r="AB54"/>
  <c r="AB55" s="1"/>
  <c r="AB56" s="1"/>
  <c r="AB58" s="1"/>
  <c r="Z53"/>
  <c r="S85" i="49"/>
  <c r="N21" i="51"/>
  <c r="T21" s="1"/>
  <c r="Y19" i="50"/>
  <c r="Q40"/>
  <c r="S40" s="1"/>
  <c r="S69" i="49"/>
  <c r="T69" s="1"/>
  <c r="S67"/>
  <c r="S68"/>
  <c r="T68" s="1"/>
  <c r="S64"/>
  <c r="S65"/>
  <c r="S61"/>
  <c r="S62"/>
  <c r="S63"/>
  <c r="S43"/>
  <c r="T43" s="1"/>
  <c r="S42"/>
  <c r="T42" s="1"/>
  <c r="S41"/>
  <c r="T41" s="1"/>
  <c r="S54"/>
  <c r="T54" s="1"/>
  <c r="S53"/>
  <c r="T53" s="1"/>
  <c r="S52"/>
  <c r="T52" s="1"/>
  <c r="R51"/>
  <c r="S50"/>
  <c r="R49"/>
  <c r="S49" s="1"/>
  <c r="R48"/>
  <c r="S48" s="1"/>
  <c r="R47"/>
  <c r="S47" s="1"/>
  <c r="R45"/>
  <c r="R39"/>
  <c r="S39" s="1"/>
  <c r="R38"/>
  <c r="R37"/>
  <c r="S37" s="1"/>
  <c r="R35"/>
  <c r="S35" s="1"/>
  <c r="R36"/>
  <c r="S36" s="1"/>
  <c r="R34"/>
  <c r="S34" s="1"/>
  <c r="R32"/>
  <c r="S32" s="1"/>
  <c r="R31"/>
  <c r="R30"/>
  <c r="S30" s="1"/>
  <c r="R26"/>
  <c r="R25"/>
  <c r="S25" s="1"/>
  <c r="R24"/>
  <c r="R23"/>
  <c r="S23" s="1"/>
  <c r="S16"/>
  <c r="R15"/>
  <c r="S15" s="1"/>
  <c r="R22"/>
  <c r="R21"/>
  <c r="S21" s="1"/>
  <c r="R20"/>
  <c r="S18"/>
  <c r="S20"/>
  <c r="S22"/>
  <c r="S24"/>
  <c r="S26"/>
  <c r="S31"/>
  <c r="R17"/>
  <c r="S17" s="1"/>
  <c r="Q85"/>
  <c r="P85"/>
  <c r="O85"/>
  <c r="Q79"/>
  <c r="P79"/>
  <c r="O79"/>
  <c r="Q57"/>
  <c r="P57"/>
  <c r="O57"/>
  <c r="Q44"/>
  <c r="P44"/>
  <c r="O44"/>
  <c r="Q38"/>
  <c r="Q33" s="1"/>
  <c r="P33"/>
  <c r="O33"/>
  <c r="Q29"/>
  <c r="Q28" s="1"/>
  <c r="P28"/>
  <c r="O28"/>
  <c r="Q27"/>
  <c r="Q14" s="1"/>
  <c r="P14"/>
  <c r="O14"/>
  <c r="N40"/>
  <c r="N81"/>
  <c r="T81" s="1"/>
  <c r="N82"/>
  <c r="T82" s="1"/>
  <c r="N83"/>
  <c r="T83" s="1"/>
  <c r="N86"/>
  <c r="T86" s="1"/>
  <c r="N87"/>
  <c r="T87" s="1"/>
  <c r="N58"/>
  <c r="S58" s="1"/>
  <c r="N60"/>
  <c r="S60" s="1"/>
  <c r="T60" s="1"/>
  <c r="N61"/>
  <c r="N62"/>
  <c r="N63"/>
  <c r="N64"/>
  <c r="N65"/>
  <c r="N66"/>
  <c r="T66" s="1"/>
  <c r="N67"/>
  <c r="N16"/>
  <c r="N17"/>
  <c r="N18"/>
  <c r="N19"/>
  <c r="N20"/>
  <c r="N21"/>
  <c r="N22"/>
  <c r="N23"/>
  <c r="N24"/>
  <c r="N25"/>
  <c r="N26"/>
  <c r="N30"/>
  <c r="N31"/>
  <c r="N32"/>
  <c r="N34"/>
  <c r="N35"/>
  <c r="N36"/>
  <c r="N37"/>
  <c r="N39"/>
  <c r="N45"/>
  <c r="N47"/>
  <c r="N48"/>
  <c r="N49"/>
  <c r="N50"/>
  <c r="N51"/>
  <c r="S51" s="1"/>
  <c r="D98"/>
  <c r="M85"/>
  <c r="L85"/>
  <c r="K85"/>
  <c r="J85"/>
  <c r="M79"/>
  <c r="L79"/>
  <c r="K79"/>
  <c r="J79"/>
  <c r="M59"/>
  <c r="N59" s="1"/>
  <c r="S59" s="1"/>
  <c r="T59" s="1"/>
  <c r="L57"/>
  <c r="J57"/>
  <c r="M44"/>
  <c r="L44"/>
  <c r="K44"/>
  <c r="J44"/>
  <c r="L38"/>
  <c r="N38" s="1"/>
  <c r="M33"/>
  <c r="L33"/>
  <c r="J33"/>
  <c r="L29"/>
  <c r="M29" s="1"/>
  <c r="M28" s="1"/>
  <c r="J28"/>
  <c r="L27"/>
  <c r="M27" s="1"/>
  <c r="M14" s="1"/>
  <c r="J14"/>
  <c r="K91" l="1"/>
  <c r="V28" i="53"/>
  <c r="V40"/>
  <c r="Y45" s="1"/>
  <c r="V27"/>
  <c r="V26" s="1"/>
  <c r="V25" s="1"/>
  <c r="V16" s="1"/>
  <c r="V28" i="52"/>
  <c r="V17" s="1"/>
  <c r="AB57" i="4"/>
  <c r="T85" i="49"/>
  <c r="R33"/>
  <c r="R44"/>
  <c r="J91"/>
  <c r="W33"/>
  <c r="W34" s="1"/>
  <c r="O91"/>
  <c r="T16"/>
  <c r="U16" s="1"/>
  <c r="T36"/>
  <c r="U36" s="1"/>
  <c r="P91"/>
  <c r="T21"/>
  <c r="U21" s="1"/>
  <c r="T23"/>
  <c r="U23" s="1"/>
  <c r="T25"/>
  <c r="U25" s="1"/>
  <c r="T30"/>
  <c r="U30" s="1"/>
  <c r="S57"/>
  <c r="T32" i="51"/>
  <c r="V32" s="1"/>
  <c r="V21"/>
  <c r="N32"/>
  <c r="Q91" i="49"/>
  <c r="T58"/>
  <c r="U58" s="1"/>
  <c r="L14"/>
  <c r="N14" s="1"/>
  <c r="N44"/>
  <c r="N79"/>
  <c r="T79" s="1"/>
  <c r="N85"/>
  <c r="T17"/>
  <c r="U17" s="1"/>
  <c r="T18"/>
  <c r="U18" s="1"/>
  <c r="T35"/>
  <c r="U35" s="1"/>
  <c r="T40"/>
  <c r="T47"/>
  <c r="T49"/>
  <c r="T51"/>
  <c r="U51" s="1"/>
  <c r="T62"/>
  <c r="T64"/>
  <c r="T67"/>
  <c r="T31"/>
  <c r="U31" s="1"/>
  <c r="T26"/>
  <c r="U26" s="1"/>
  <c r="T24"/>
  <c r="U24" s="1"/>
  <c r="T22"/>
  <c r="U22" s="1"/>
  <c r="T20"/>
  <c r="U20" s="1"/>
  <c r="T19"/>
  <c r="U19" s="1"/>
  <c r="T32"/>
  <c r="U32" s="1"/>
  <c r="T34"/>
  <c r="U34" s="1"/>
  <c r="T37"/>
  <c r="U37" s="1"/>
  <c r="T39"/>
  <c r="U39" s="1"/>
  <c r="T48"/>
  <c r="T50"/>
  <c r="T63"/>
  <c r="T61"/>
  <c r="U61" s="1"/>
  <c r="T65"/>
  <c r="U40" i="50"/>
  <c r="T15" i="49"/>
  <c r="R27"/>
  <c r="S27" s="1"/>
  <c r="S14" s="1"/>
  <c r="R29"/>
  <c r="R28" s="1"/>
  <c r="S38"/>
  <c r="T38" s="1"/>
  <c r="U38" s="1"/>
  <c r="S45"/>
  <c r="S44" s="1"/>
  <c r="N33"/>
  <c r="N29"/>
  <c r="N27"/>
  <c r="L28"/>
  <c r="L91" s="1"/>
  <c r="M57"/>
  <c r="M91" s="1"/>
  <c r="U15" l="1"/>
  <c r="T57"/>
  <c r="R14"/>
  <c r="R91" s="1"/>
  <c r="U50"/>
  <c r="S33"/>
  <c r="T27"/>
  <c r="U27" s="1"/>
  <c r="T45"/>
  <c r="T44" s="1"/>
  <c r="S29"/>
  <c r="N91"/>
  <c r="N28"/>
  <c r="N57"/>
  <c r="T33" l="1"/>
  <c r="T14"/>
  <c r="U33"/>
  <c r="S28"/>
  <c r="T28" s="1"/>
  <c r="U28" s="1"/>
  <c r="T29"/>
  <c r="U29" s="1"/>
  <c r="S42" i="47"/>
  <c r="Q42"/>
  <c r="O42"/>
  <c r="T27"/>
  <c r="D78" i="48"/>
  <c r="Q73"/>
  <c r="N69"/>
  <c r="N68"/>
  <c r="N67" s="1"/>
  <c r="M67"/>
  <c r="L67"/>
  <c r="K67"/>
  <c r="J67"/>
  <c r="N66"/>
  <c r="N65"/>
  <c r="N64"/>
  <c r="N63" s="1"/>
  <c r="M63"/>
  <c r="L63"/>
  <c r="K63"/>
  <c r="J63"/>
  <c r="N62"/>
  <c r="N61"/>
  <c r="N60"/>
  <c r="N59"/>
  <c r="N58"/>
  <c r="N57"/>
  <c r="N56"/>
  <c r="N55"/>
  <c r="M54"/>
  <c r="N54" s="1"/>
  <c r="N53"/>
  <c r="M52"/>
  <c r="L52"/>
  <c r="K52"/>
  <c r="J52"/>
  <c r="N46"/>
  <c r="N45"/>
  <c r="N44"/>
  <c r="N43"/>
  <c r="N42"/>
  <c r="N41"/>
  <c r="N40"/>
  <c r="M40"/>
  <c r="L40"/>
  <c r="K40"/>
  <c r="J40"/>
  <c r="N39"/>
  <c r="L38"/>
  <c r="N38" s="1"/>
  <c r="N37"/>
  <c r="N36"/>
  <c r="N35"/>
  <c r="N34"/>
  <c r="M33"/>
  <c r="L33"/>
  <c r="K33"/>
  <c r="J33"/>
  <c r="N32"/>
  <c r="N31"/>
  <c r="N30"/>
  <c r="L29"/>
  <c r="L28" s="1"/>
  <c r="K28"/>
  <c r="J28"/>
  <c r="L27"/>
  <c r="N26"/>
  <c r="N25"/>
  <c r="N24"/>
  <c r="N23"/>
  <c r="N22"/>
  <c r="N21"/>
  <c r="Q20"/>
  <c r="N20"/>
  <c r="N19"/>
  <c r="N18"/>
  <c r="N17"/>
  <c r="N16"/>
  <c r="N15"/>
  <c r="L14"/>
  <c r="K14"/>
  <c r="J14"/>
  <c r="W98" i="49" l="1"/>
  <c r="S91"/>
  <c r="W100" s="1"/>
  <c r="N33" i="48"/>
  <c r="J71"/>
  <c r="K71"/>
  <c r="L71"/>
  <c r="N52"/>
  <c r="M27"/>
  <c r="M14" s="1"/>
  <c r="N14" s="1"/>
  <c r="M29"/>
  <c r="M28" s="1"/>
  <c r="M71" s="1"/>
  <c r="U41" i="47"/>
  <c r="U42"/>
  <c r="U40"/>
  <c r="T24"/>
  <c r="T20" s="1"/>
  <c r="T31" s="1"/>
  <c r="H49" i="46"/>
  <c r="T91" i="49" l="1"/>
  <c r="W94" s="1"/>
  <c r="Q76" i="48"/>
  <c r="N71"/>
  <c r="N29"/>
  <c r="N28" s="1"/>
  <c r="N27"/>
  <c r="D67" i="46"/>
  <c r="E67"/>
  <c r="F67"/>
  <c r="H67"/>
  <c r="C67"/>
  <c r="E86"/>
  <c r="F86"/>
  <c r="H86"/>
  <c r="I86"/>
  <c r="C86"/>
  <c r="E76"/>
  <c r="F76"/>
  <c r="H76"/>
  <c r="I76"/>
  <c r="C76"/>
  <c r="D49"/>
  <c r="E49"/>
  <c r="F49"/>
  <c r="C49"/>
  <c r="B32"/>
  <c r="C32"/>
  <c r="D32"/>
  <c r="C21"/>
  <c r="D21"/>
  <c r="B41"/>
  <c r="B42"/>
  <c r="B43"/>
  <c r="B44"/>
  <c r="G44" s="1"/>
  <c r="B45"/>
  <c r="B46"/>
  <c r="G46" s="1"/>
  <c r="B57"/>
  <c r="B58"/>
  <c r="G58" s="1"/>
  <c r="B59"/>
  <c r="G62"/>
  <c r="B63"/>
  <c r="G63" s="1"/>
  <c r="B64"/>
  <c r="G64" s="1"/>
  <c r="B66"/>
  <c r="G66" s="1"/>
  <c r="B74"/>
  <c r="B73"/>
  <c r="E32" l="1"/>
  <c r="J76"/>
  <c r="J86"/>
  <c r="G67"/>
  <c r="G49"/>
  <c r="J67"/>
  <c r="I49"/>
  <c r="E21"/>
  <c r="T24" i="1"/>
  <c r="T20" s="1"/>
  <c r="Y14" l="1"/>
  <c r="U40" l="1"/>
  <c r="O40"/>
  <c r="Q40" s="1"/>
  <c r="S40" s="1"/>
  <c r="U41"/>
  <c r="T31" l="1"/>
  <c r="Y19"/>
  <c r="Y12"/>
  <c r="Y10"/>
  <c r="Y42" i="47" l="1"/>
  <c r="Y43" s="1"/>
  <c r="Y45"/>
  <c r="Y25"/>
  <c r="Y27"/>
  <c r="Y28" s="1"/>
  <c r="T22"/>
  <c r="T16"/>
  <c r="T17" s="1"/>
  <c r="T18" s="1"/>
  <c r="T16" i="1" l="1"/>
  <c r="N15" i="42" l="1"/>
  <c r="K68"/>
  <c r="M64"/>
  <c r="L64"/>
  <c r="K64"/>
  <c r="J64"/>
  <c r="L53"/>
  <c r="K53"/>
  <c r="J53"/>
  <c r="M33"/>
  <c r="K33"/>
  <c r="J33"/>
  <c r="M41"/>
  <c r="L41"/>
  <c r="K41"/>
  <c r="J41"/>
  <c r="K28"/>
  <c r="J28"/>
  <c r="K14"/>
  <c r="J14"/>
  <c r="L68"/>
  <c r="M68"/>
  <c r="J68"/>
  <c r="N54"/>
  <c r="N34"/>
  <c r="N35"/>
  <c r="N36"/>
  <c r="N39"/>
  <c r="N40"/>
  <c r="L38"/>
  <c r="N38" s="1"/>
  <c r="N69"/>
  <c r="N70"/>
  <c r="N67"/>
  <c r="N66"/>
  <c r="N65"/>
  <c r="N56"/>
  <c r="N57"/>
  <c r="N58"/>
  <c r="N59"/>
  <c r="N60"/>
  <c r="N61"/>
  <c r="N62"/>
  <c r="N63"/>
  <c r="M55"/>
  <c r="M53" s="1"/>
  <c r="L27"/>
  <c r="L14" s="1"/>
  <c r="M27" l="1"/>
  <c r="M14" s="1"/>
  <c r="N14" s="1"/>
  <c r="N64"/>
  <c r="N68"/>
  <c r="L33"/>
  <c r="K72"/>
  <c r="N55"/>
  <c r="N53" s="1"/>
  <c r="N37"/>
  <c r="N33" s="1"/>
  <c r="J72"/>
  <c r="Z42" i="10"/>
  <c r="Z40"/>
  <c r="L29" i="42"/>
  <c r="V32" i="15"/>
  <c r="G42" i="45"/>
  <c r="V24"/>
  <c r="V25"/>
  <c r="V26"/>
  <c r="V23"/>
  <c r="V22"/>
  <c r="V21"/>
  <c r="N43" i="42"/>
  <c r="N44"/>
  <c r="N45"/>
  <c r="N46"/>
  <c r="N47"/>
  <c r="N42"/>
  <c r="Q20"/>
  <c r="N20"/>
  <c r="N16"/>
  <c r="N17"/>
  <c r="N18"/>
  <c r="N19"/>
  <c r="N21"/>
  <c r="N22"/>
  <c r="N23"/>
  <c r="N24"/>
  <c r="N25"/>
  <c r="N26"/>
  <c r="AB41" i="8"/>
  <c r="Z28"/>
  <c r="V35"/>
  <c r="V34"/>
  <c r="V33"/>
  <c r="V32"/>
  <c r="V31"/>
  <c r="AA28"/>
  <c r="AD28"/>
  <c r="V36"/>
  <c r="AD36"/>
  <c r="AD35"/>
  <c r="V20" i="45" l="1"/>
  <c r="V36" s="1"/>
  <c r="AB38" s="1"/>
  <c r="N27" i="42"/>
  <c r="M29"/>
  <c r="L28"/>
  <c r="L72" s="1"/>
  <c r="N41"/>
  <c r="V19" i="45"/>
  <c r="V18" s="1"/>
  <c r="V17" s="1"/>
  <c r="V16" s="1"/>
  <c r="V30" i="8"/>
  <c r="Z33" s="1"/>
  <c r="V43" i="15"/>
  <c r="X36" s="1"/>
  <c r="F45" i="16"/>
  <c r="F46" s="1"/>
  <c r="F47" s="1"/>
  <c r="T22" i="1"/>
  <c r="N29" i="42" l="1"/>
  <c r="M28"/>
  <c r="M72" s="1"/>
  <c r="N72" s="1"/>
  <c r="V31" i="15"/>
  <c r="V30" s="1"/>
  <c r="V50" s="1"/>
  <c r="V53" i="14"/>
  <c r="V51" i="13"/>
  <c r="V50"/>
  <c r="V45"/>
  <c r="V40" i="19"/>
  <c r="V32" i="16"/>
  <c r="V38" i="13"/>
  <c r="V29" i="15" l="1"/>
  <c r="Z31"/>
  <c r="V58" i="7"/>
  <c r="V28" i="15" l="1"/>
  <c r="V27" s="1"/>
  <c r="V26" s="1"/>
  <c r="T17" i="1"/>
  <c r="T18" s="1"/>
  <c r="U42"/>
  <c r="D79" i="42"/>
  <c r="Y42" i="1"/>
  <c r="N32" i="42"/>
  <c r="N31"/>
  <c r="N30"/>
  <c r="Y25" i="1"/>
  <c r="Y27"/>
  <c r="H104" i="23"/>
  <c r="H103"/>
  <c r="Q54"/>
  <c r="V88" i="7"/>
  <c r="N28" i="42" l="1"/>
  <c r="Y28" i="1"/>
  <c r="Y43"/>
  <c r="H106" i="23"/>
  <c r="AA85"/>
  <c r="AA84"/>
  <c r="Q77"/>
  <c r="Q78"/>
  <c r="Q79"/>
  <c r="Q80"/>
  <c r="Q55"/>
  <c r="Q49"/>
  <c r="Q32"/>
  <c r="Q40"/>
  <c r="V40" s="1"/>
  <c r="Q41"/>
  <c r="V41" s="1"/>
  <c r="Q33"/>
  <c r="Q42"/>
  <c r="V42" s="1"/>
  <c r="Q34"/>
  <c r="V43" l="1"/>
  <c r="V44" s="1"/>
  <c r="V45" l="1"/>
  <c r="V39" s="1"/>
  <c r="Q19"/>
  <c r="Q21"/>
  <c r="Q23"/>
  <c r="AB46" i="13"/>
  <c r="V43" i="18" l="1"/>
  <c r="V41" i="16"/>
  <c r="V38"/>
  <c r="V36"/>
  <c r="V48" i="14"/>
  <c r="V52"/>
  <c r="V46"/>
  <c r="V44" s="1"/>
  <c r="V47" i="13"/>
  <c r="V87"/>
  <c r="V85"/>
  <c r="V83"/>
  <c r="V49"/>
  <c r="V36"/>
  <c r="V34"/>
  <c r="V52" i="10"/>
  <c r="V54"/>
  <c r="V49"/>
  <c r="V47" i="7"/>
  <c r="V84"/>
  <c r="Q92" i="23"/>
  <c r="V92" s="1"/>
  <c r="Q91"/>
  <c r="V91" s="1"/>
  <c r="V90"/>
  <c r="V32" i="13" l="1"/>
  <c r="V30" i="14"/>
  <c r="V81" i="13"/>
  <c r="V93" i="23"/>
  <c r="V33" i="16"/>
  <c r="V88" i="23"/>
  <c r="V25"/>
  <c r="V21"/>
  <c r="V23"/>
  <c r="V19"/>
  <c r="V33"/>
  <c r="V34"/>
  <c r="V35"/>
  <c r="V32"/>
  <c r="V56" i="14" l="1"/>
  <c r="Z61" s="1"/>
  <c r="V29"/>
  <c r="Z36"/>
  <c r="V27" i="23"/>
  <c r="V28" s="1"/>
  <c r="V36"/>
  <c r="V18"/>
  <c r="AA18" s="1"/>
  <c r="V37" l="1"/>
  <c r="V31" s="1"/>
  <c r="V30" s="1"/>
  <c r="AA30" s="1"/>
  <c r="Q77" i="42" l="1"/>
  <c r="Q74"/>
  <c r="V87" i="23"/>
  <c r="AA87" s="1"/>
  <c r="V80"/>
  <c r="V79"/>
  <c r="V78"/>
  <c r="V77"/>
  <c r="V56"/>
  <c r="V55"/>
  <c r="V54"/>
  <c r="V49"/>
  <c r="V48"/>
  <c r="V50" l="1"/>
  <c r="V51" s="1"/>
  <c r="V81"/>
  <c r="V57"/>
  <c r="V58" s="1"/>
  <c r="F53" i="21"/>
  <c r="V32"/>
  <c r="V31"/>
  <c r="G52" i="20"/>
  <c r="V34"/>
  <c r="V33"/>
  <c r="V32"/>
  <c r="V31"/>
  <c r="F54" i="19"/>
  <c r="V45"/>
  <c r="V44"/>
  <c r="V38"/>
  <c r="V36"/>
  <c r="V35"/>
  <c r="V32"/>
  <c r="V31"/>
  <c r="F82" i="18"/>
  <c r="V68"/>
  <c r="V65" s="1"/>
  <c r="Z70" s="1"/>
  <c r="V56"/>
  <c r="V55"/>
  <c r="V54"/>
  <c r="V53"/>
  <c r="V52"/>
  <c r="V51"/>
  <c r="V50"/>
  <c r="V49"/>
  <c r="V48"/>
  <c r="V47"/>
  <c r="V46"/>
  <c r="V42"/>
  <c r="V41"/>
  <c r="V40"/>
  <c r="V39"/>
  <c r="V38"/>
  <c r="V37"/>
  <c r="V36"/>
  <c r="V35"/>
  <c r="V34"/>
  <c r="V33"/>
  <c r="V32"/>
  <c r="F58" i="17"/>
  <c r="V48"/>
  <c r="V47"/>
  <c r="V46"/>
  <c r="V45"/>
  <c r="V42"/>
  <c r="V40"/>
  <c r="V34"/>
  <c r="V33" s="1"/>
  <c r="V31"/>
  <c r="V32" s="1"/>
  <c r="F48" i="16"/>
  <c r="V31"/>
  <c r="V30" s="1"/>
  <c r="F62" i="14"/>
  <c r="V46" i="13"/>
  <c r="V43" s="1"/>
  <c r="V30" s="1"/>
  <c r="I96"/>
  <c r="I48" i="11"/>
  <c r="V34"/>
  <c r="V33"/>
  <c r="V32"/>
  <c r="V50" i="10"/>
  <c r="V36"/>
  <c r="V51" i="7"/>
  <c r="V87"/>
  <c r="F87" i="10"/>
  <c r="V79"/>
  <c r="V78" s="1"/>
  <c r="Z50" s="1"/>
  <c r="V53"/>
  <c r="V51"/>
  <c r="V48"/>
  <c r="V47"/>
  <c r="V46"/>
  <c r="V45"/>
  <c r="V44"/>
  <c r="V43"/>
  <c r="V42"/>
  <c r="V41"/>
  <c r="V40"/>
  <c r="V39"/>
  <c r="V37"/>
  <c r="V35"/>
  <c r="V34"/>
  <c r="V33"/>
  <c r="V32"/>
  <c r="V31"/>
  <c r="V30"/>
  <c r="H49" i="9"/>
  <c r="V38"/>
  <c r="V37"/>
  <c r="V36"/>
  <c r="V35"/>
  <c r="V34"/>
  <c r="V33"/>
  <c r="V32"/>
  <c r="V39" i="8"/>
  <c r="AD33"/>
  <c r="H97" i="7"/>
  <c r="V86"/>
  <c r="V85"/>
  <c r="V81"/>
  <c r="V67"/>
  <c r="V66"/>
  <c r="V65"/>
  <c r="V64"/>
  <c r="V63"/>
  <c r="V62"/>
  <c r="V61"/>
  <c r="V60"/>
  <c r="V59"/>
  <c r="V57"/>
  <c r="V56"/>
  <c r="V55"/>
  <c r="V54"/>
  <c r="V52"/>
  <c r="V49"/>
  <c r="V48"/>
  <c r="V46"/>
  <c r="V45"/>
  <c r="V44"/>
  <c r="V42"/>
  <c r="V41"/>
  <c r="V40"/>
  <c r="V39"/>
  <c r="V38"/>
  <c r="V37"/>
  <c r="W36"/>
  <c r="V35"/>
  <c r="V34"/>
  <c r="V31"/>
  <c r="V34" i="19" l="1"/>
  <c r="V42" i="9"/>
  <c r="AA47" s="1"/>
  <c r="V30"/>
  <c r="V31" i="18"/>
  <c r="V30" i="19"/>
  <c r="V45" i="18"/>
  <c r="V91" i="7"/>
  <c r="Z89" s="1"/>
  <c r="V30"/>
  <c r="V29" i="10"/>
  <c r="V41" i="11"/>
  <c r="V43" i="19"/>
  <c r="Z45" s="1"/>
  <c r="Z47" s="1"/>
  <c r="V47" i="21"/>
  <c r="V39" i="17"/>
  <c r="V38" s="1"/>
  <c r="V46" i="20"/>
  <c r="AB46" s="1"/>
  <c r="Z30" i="8"/>
  <c r="V44" i="17"/>
  <c r="V43" s="1"/>
  <c r="V82" i="23"/>
  <c r="V76" s="1"/>
  <c r="V42" i="16"/>
  <c r="AB49" s="1"/>
  <c r="V29"/>
  <c r="V17" s="1"/>
  <c r="V53" i="23"/>
  <c r="V31" i="11"/>
  <c r="V47" i="23"/>
  <c r="AA47" s="1"/>
  <c r="V90" i="13"/>
  <c r="V30" i="21"/>
  <c r="V29" s="1"/>
  <c r="V28" s="1"/>
  <c r="V27" s="1"/>
  <c r="V30" i="20"/>
  <c r="V29" s="1"/>
  <c r="V28" s="1"/>
  <c r="V27" s="1"/>
  <c r="V29" i="17"/>
  <c r="V28" s="1"/>
  <c r="V27" s="1"/>
  <c r="V37"/>
  <c r="V28" i="16"/>
  <c r="V27" s="1"/>
  <c r="V26" s="1"/>
  <c r="V29" i="9"/>
  <c r="V28" s="1"/>
  <c r="V27" s="1"/>
  <c r="V26" s="1"/>
  <c r="V30" i="5"/>
  <c r="V33" i="4"/>
  <c r="V32"/>
  <c r="Y45" i="1"/>
  <c r="V29" i="19" l="1"/>
  <c r="Z29"/>
  <c r="V48"/>
  <c r="V81" i="10"/>
  <c r="Z85" s="1"/>
  <c r="V28"/>
  <c r="V30" i="4"/>
  <c r="V47"/>
  <c r="Z43" s="1"/>
  <c r="V17" i="21"/>
  <c r="V26"/>
  <c r="V30" i="18"/>
  <c r="V17" i="20"/>
  <c r="V26"/>
  <c r="V43" i="8"/>
  <c r="V29"/>
  <c r="V28" s="1"/>
  <c r="AA76" i="23"/>
  <c r="AB102"/>
  <c r="AA102"/>
  <c r="AA103" s="1"/>
  <c r="V28" i="14"/>
  <c r="V27" s="1"/>
  <c r="V26" s="1"/>
  <c r="V17"/>
  <c r="V30" i="11"/>
  <c r="AA53" i="23"/>
  <c r="AA100"/>
  <c r="AA101" s="1"/>
  <c r="V17"/>
  <c r="V16" i="10"/>
  <c r="V29" i="13"/>
  <c r="V28" s="1"/>
  <c r="V40" i="5"/>
  <c r="AA35" s="1"/>
  <c r="V26" i="17"/>
  <c r="V52" s="1"/>
  <c r="V17"/>
  <c r="V17" i="9"/>
  <c r="V29" i="7"/>
  <c r="V17"/>
  <c r="V29" i="5"/>
  <c r="Z49" i="8" l="1"/>
  <c r="Z46"/>
  <c r="AA50" i="10"/>
  <c r="V28" i="19"/>
  <c r="V27" s="1"/>
  <c r="V26" s="1"/>
  <c r="V17"/>
  <c r="V28" i="7"/>
  <c r="V27" s="1"/>
  <c r="Z27"/>
  <c r="AA36" i="18"/>
  <c r="V29"/>
  <c r="V76" s="1"/>
  <c r="Z82" s="1"/>
  <c r="V27" i="8"/>
  <c r="V27" i="13"/>
  <c r="V17"/>
  <c r="V17" i="11"/>
  <c r="V29"/>
  <c r="V28" s="1"/>
  <c r="V27" s="1"/>
  <c r="V26" s="1"/>
  <c r="AB100" i="23"/>
  <c r="AB101" s="1"/>
  <c r="AB103" s="1"/>
  <c r="AB104" s="1"/>
  <c r="AB105" s="1"/>
  <c r="V16"/>
  <c r="V15" s="1"/>
  <c r="V14" s="1"/>
  <c r="V99"/>
  <c r="AA90"/>
  <c r="AA93" s="1"/>
  <c r="AB93"/>
  <c r="AB94" s="1"/>
  <c r="AB53"/>
  <c r="AB106"/>
  <c r="AA105"/>
  <c r="AA108"/>
  <c r="V17" i="8"/>
  <c r="V27" i="10"/>
  <c r="V26" s="1"/>
  <c r="V25" s="1"/>
  <c r="V17" i="5"/>
  <c r="V28"/>
  <c r="V27" s="1"/>
  <c r="V29" i="4"/>
  <c r="V28" s="1"/>
  <c r="V27" s="1"/>
  <c r="V26" s="1"/>
  <c r="V17"/>
  <c r="V28" i="18" l="1"/>
  <c r="V17" s="1"/>
  <c r="Z36"/>
  <c r="Z36" i="8"/>
  <c r="Z38" s="1"/>
  <c r="V26"/>
  <c r="AA106" i="23"/>
  <c r="AB107"/>
  <c r="V27" i="18" l="1"/>
  <c r="V26" s="1"/>
  <c r="AA107" i="23"/>
  <c r="AA109"/>
  <c r="V17" i="15"/>
  <c r="F57" l="1"/>
  <c r="T16" i="56"/>
</calcChain>
</file>

<file path=xl/sharedStrings.xml><?xml version="1.0" encoding="utf-8"?>
<sst xmlns="http://schemas.openxmlformats.org/spreadsheetml/2006/main" count="4993" uniqueCount="1108">
  <si>
    <t>DOKUMEN PELAKSANAAN ANGGARAN</t>
  </si>
  <si>
    <t>FORMULIR</t>
  </si>
  <si>
    <t>SATUAN KERJA PERANGKAT DAERAH</t>
  </si>
  <si>
    <t>DPA-SKPD</t>
  </si>
  <si>
    <t>Kabupaten Wonosobo</t>
  </si>
  <si>
    <t>URUSAN PEMERINTAHAN</t>
  </si>
  <si>
    <t>:</t>
  </si>
  <si>
    <t>2.04.</t>
  </si>
  <si>
    <t>PARIWISATA</t>
  </si>
  <si>
    <t>ORGANISASI</t>
  </si>
  <si>
    <t>2.04.01.</t>
  </si>
  <si>
    <t>DINAS PARIWISATA DAN KEBUDAYAAN</t>
  </si>
  <si>
    <t>RINGKASAN DOKUMEN PELAKSANAAN ANGGARAN PENDAPATAN, BELANJA DAN PEMBIAYAAN</t>
  </si>
  <si>
    <t>KODE</t>
  </si>
  <si>
    <t>URAIAN</t>
  </si>
  <si>
    <t>JUMLAH</t>
  </si>
  <si>
    <t>REKENING</t>
  </si>
  <si>
    <t>Rp</t>
  </si>
  <si>
    <t>BELANJA DAERAH</t>
  </si>
  <si>
    <t>2.04.2.04.01.00.00.5.1.</t>
  </si>
  <si>
    <t>Belanja Tidak Langsung</t>
  </si>
  <si>
    <t>2.04.2.04.01.00.00.5.1.1.</t>
  </si>
  <si>
    <t>Belanja Pegawai</t>
  </si>
  <si>
    <t>BELANJA LANGSUNG</t>
  </si>
  <si>
    <t>Belanja Barang dan Jasa</t>
  </si>
  <si>
    <t>2.04.2.04.01.00.00.5.2.3.</t>
  </si>
  <si>
    <t>Belanja Modal</t>
  </si>
  <si>
    <t>Surplus/Defisit</t>
  </si>
  <si>
    <t>RENCANA PELAKSANAAN ANGGARAN PENDAPATAN, BELANJA DAN PEMBIAYAAN</t>
  </si>
  <si>
    <t>SATUAN KERJA PERANGKAT DAERAH PERTRIWULAN</t>
  </si>
  <si>
    <t>NO REKENING</t>
  </si>
  <si>
    <t>TRIWULAN</t>
  </si>
  <si>
    <t>I</t>
  </si>
  <si>
    <t>II</t>
  </si>
  <si>
    <t>III</t>
  </si>
  <si>
    <t>IV</t>
  </si>
  <si>
    <t>7=3+4+5+6</t>
  </si>
  <si>
    <t>Belanja Langsung</t>
  </si>
  <si>
    <t>Mengetahui</t>
  </si>
  <si>
    <t>Sekretaris Daerah</t>
  </si>
  <si>
    <t>Drs. EKO SUTRISNO WIBOWO, MM</t>
  </si>
  <si>
    <t xml:space="preserve">Pembina Utama Madya </t>
  </si>
  <si>
    <t>NIP. 19610922 198711 1 002</t>
  </si>
  <si>
    <t>PENGESAHAN PARAF</t>
  </si>
  <si>
    <t>1. …………..</t>
  </si>
  <si>
    <t>NIP.</t>
  </si>
  <si>
    <t>Kepala SKPD</t>
  </si>
  <si>
    <t>SATUAN PERANGKAT DAERAH</t>
  </si>
  <si>
    <t>DPA - SKPD</t>
  </si>
  <si>
    <t>2.2</t>
  </si>
  <si>
    <t>REKAPITULASI DOKUMEN PELAKSANAAN ANGGARAN BELANJA LANGSUNG</t>
  </si>
  <si>
    <t>MENURUT PROGRAM KEGIATAN</t>
  </si>
  <si>
    <t>KODE REKENING</t>
  </si>
  <si>
    <t>LOKASI</t>
  </si>
  <si>
    <t>TARGET</t>
  </si>
  <si>
    <t>SUMBER</t>
  </si>
  <si>
    <t>TRI WILAN</t>
  </si>
  <si>
    <t>Program</t>
  </si>
  <si>
    <t>Kegiatan</t>
  </si>
  <si>
    <t>KINERJA</t>
  </si>
  <si>
    <t>DANA</t>
  </si>
  <si>
    <t>(Rp)</t>
  </si>
  <si>
    <t>(Kuantitatif)</t>
  </si>
  <si>
    <t>01</t>
  </si>
  <si>
    <t>Program Pelayanan Administrasi Perkantoran</t>
  </si>
  <si>
    <t>01'01</t>
  </si>
  <si>
    <t>Penyediaan Jasa Surat Menyurat</t>
  </si>
  <si>
    <t>DIPARBUD</t>
  </si>
  <si>
    <t>APBD</t>
  </si>
  <si>
    <t>01.02</t>
  </si>
  <si>
    <t>01.07</t>
  </si>
  <si>
    <t>Penyediaan Jasa Administrasi Keuangan</t>
  </si>
  <si>
    <t>01.10</t>
  </si>
  <si>
    <t>Penyediaan Alat Tulis Kantor</t>
  </si>
  <si>
    <t>01.11</t>
  </si>
  <si>
    <t>Penyediaan Barang Cetakan dan Penggandaan</t>
  </si>
  <si>
    <t>01.12</t>
  </si>
  <si>
    <t>Penyediaan Komponen Instalasi Listrik/Penerangan Bangunan Kantor</t>
  </si>
  <si>
    <t>01.13</t>
  </si>
  <si>
    <t>Penyediaan Peralatan dan Perlengkapan Kantor</t>
  </si>
  <si>
    <t>01.15</t>
  </si>
  <si>
    <t>Penyediaan Bahan Bacaan dan Peraturan Perundang-undangan</t>
  </si>
  <si>
    <t>01.17</t>
  </si>
  <si>
    <t>Penyediaan Makanan dan Minuman</t>
  </si>
  <si>
    <t>01.18</t>
  </si>
  <si>
    <t>Rapat-rapat Koordinasi dan Konsultasi ke Luar Daerah</t>
  </si>
  <si>
    <t>01.19</t>
  </si>
  <si>
    <t>Rapat-rapat Koordinasi dan Konsultasi Dalam Daerah</t>
  </si>
  <si>
    <t>01.24</t>
  </si>
  <si>
    <t xml:space="preserve">Penyediaan Jasa Kebersihan dan Keamanan </t>
  </si>
  <si>
    <t>01.26</t>
  </si>
  <si>
    <t>Penyediaan Jasa Pelayanan Umum Pemerintahan</t>
  </si>
  <si>
    <t>02</t>
  </si>
  <si>
    <t>Program Peningkatan Sarana dan Prasarana Aparatur</t>
  </si>
  <si>
    <t>02.22</t>
  </si>
  <si>
    <t>Pemeliharaan Rutin/Berkala Gedung Kantor</t>
  </si>
  <si>
    <t>02.24</t>
  </si>
  <si>
    <t>Pemeliharaan Rutin/Berkala Kendaraan Dinas/ Operasional</t>
  </si>
  <si>
    <t>02.30</t>
  </si>
  <si>
    <t>Pemeliharaan Rutin/Berkala Alat-alat Kantor</t>
  </si>
  <si>
    <t>02.32</t>
  </si>
  <si>
    <t>Pemeliharaan Rutin/Berkala Perlengkapan Kantor</t>
  </si>
  <si>
    <t>Program Pengembangan Pemasaran Pariwisata</t>
  </si>
  <si>
    <t>16</t>
  </si>
  <si>
    <t>Program Pengembangan Destinasi Pariwisata</t>
  </si>
  <si>
    <t>Rencana Penarikan Dana Pertriwulan</t>
  </si>
  <si>
    <t>Triwulan I</t>
  </si>
  <si>
    <t>Triwulan II</t>
  </si>
  <si>
    <t>Triwulan III</t>
  </si>
  <si>
    <t>Triwulan IV</t>
  </si>
  <si>
    <t>Jumlah</t>
  </si>
  <si>
    <t>Pembina Tk. I</t>
  </si>
  <si>
    <t>NIP. 19600429 199203 1 002</t>
  </si>
  <si>
    <t>PARAF TIM PENELITI DPA - SKPD</t>
  </si>
  <si>
    <t>Pejabat Pengelola Keuangan Daerah</t>
  </si>
  <si>
    <t>Drs. M. KRISTIJADI, M.Si</t>
  </si>
  <si>
    <t>NIP. 19681226 199403 1 005</t>
  </si>
  <si>
    <t>DOKUMEN PELAKSANA ANGGARAN</t>
  </si>
  <si>
    <t>Nomor DPA SKPD</t>
  </si>
  <si>
    <t>00</t>
  </si>
  <si>
    <t>DOKUMEN PELAKSANAAN ANGGARAN BELANJA TIDAK LANGSUNG</t>
  </si>
  <si>
    <t>RINCIAN PERHITUNGAN</t>
  </si>
  <si>
    <t>Volume</t>
  </si>
  <si>
    <t>Satuan</t>
  </si>
  <si>
    <t>Harga Sat</t>
  </si>
  <si>
    <t>BELANJA TIDAK LANGSUNG</t>
  </si>
  <si>
    <t>Gaji dan Tunjangan</t>
  </si>
  <si>
    <t>Gaji Pokok PNS/Uang Representasi</t>
  </si>
  <si>
    <t>OB</t>
  </si>
  <si>
    <t xml:space="preserve">Gol III  : </t>
  </si>
  <si>
    <t xml:space="preserve">Gol II   : </t>
  </si>
  <si>
    <t xml:space="preserve"> </t>
  </si>
  <si>
    <t>Acres</t>
  </si>
  <si>
    <t>Tunjangan Keluarga</t>
  </si>
  <si>
    <t xml:space="preserve">Gol I    : </t>
  </si>
  <si>
    <t xml:space="preserve">Gol IV  : </t>
  </si>
  <si>
    <t>Tunjangan Jabatan</t>
  </si>
  <si>
    <t xml:space="preserve">Eselon III a : </t>
  </si>
  <si>
    <t>Eselon IV a :</t>
  </si>
  <si>
    <t>Gol IV</t>
  </si>
  <si>
    <t>Tunjangan Beras</t>
  </si>
  <si>
    <t xml:space="preserve">Gol I       : </t>
  </si>
  <si>
    <t>Tunjangan PPh/Tunjangan Khusus</t>
  </si>
  <si>
    <t>Pembulatan Gaji</t>
  </si>
  <si>
    <t>PARAF TIM</t>
  </si>
  <si>
    <t>1………..</t>
  </si>
  <si>
    <t>Tambahan Penghasilan PNS</t>
  </si>
  <si>
    <t>Tambahan Penghasilan Berdasarkan</t>
  </si>
  <si>
    <t>Beban Kerja</t>
  </si>
  <si>
    <t>1 org X 12 bln</t>
  </si>
  <si>
    <t xml:space="preserve">Eselon III : </t>
  </si>
  <si>
    <t>4 org X 12 bln</t>
  </si>
  <si>
    <t xml:space="preserve">Eselon IV : </t>
  </si>
  <si>
    <t xml:space="preserve">Staf         : </t>
  </si>
  <si>
    <t>Rp.</t>
  </si>
  <si>
    <t>Mengesahkan</t>
  </si>
  <si>
    <t>2.04.2.04.01.00.00.5.</t>
  </si>
  <si>
    <t>01.</t>
  </si>
  <si>
    <t>5.</t>
  </si>
  <si>
    <t>2.</t>
  </si>
  <si>
    <t>2.2.1</t>
  </si>
  <si>
    <t>Pemerintah Kabupaten Wonosobo</t>
  </si>
  <si>
    <t>PROGRAM</t>
  </si>
  <si>
    <t>Pelayanan Administrasi Perkantoran</t>
  </si>
  <si>
    <t>Waktu Pelaksanaan</t>
  </si>
  <si>
    <t>Lokasi Kegiatan</t>
  </si>
  <si>
    <t>Diparbud</t>
  </si>
  <si>
    <t>Sumber Dana</t>
  </si>
  <si>
    <t>Indikator &amp; Tolok Ukur Kinerja Belanja Langsung</t>
  </si>
  <si>
    <t>Indikator</t>
  </si>
  <si>
    <t>Tolok Ukur Kinerja</t>
  </si>
  <si>
    <t>Target Kinerja</t>
  </si>
  <si>
    <t>Capaian Program</t>
  </si>
  <si>
    <t>Tersedianya Penyediaan Perangko dan Materai</t>
  </si>
  <si>
    <t>Masukan</t>
  </si>
  <si>
    <t>Dana</t>
  </si>
  <si>
    <t>Keluaran</t>
  </si>
  <si>
    <t>Adanya Penyediaan Perangko dan Materai</t>
  </si>
  <si>
    <t>1 Tahun</t>
  </si>
  <si>
    <t>Hasil</t>
  </si>
  <si>
    <t>Meningkatnya Penyediaan Perangko dan Materai</t>
  </si>
  <si>
    <t>Terpenuhi</t>
  </si>
  <si>
    <t>Kelompok Sasaran Kegiatan</t>
  </si>
  <si>
    <t>RINCIAN ANGGARAN BELANJA LANGSUNG</t>
  </si>
  <si>
    <t>MENURUT PROGRAM DAN KEGIATAN</t>
  </si>
  <si>
    <t xml:space="preserve">KODE </t>
  </si>
  <si>
    <t>Belanja Bahan Pakai Habis</t>
  </si>
  <si>
    <t>Belanja Perangko, Materai dan</t>
  </si>
  <si>
    <t>benda pos lainnya</t>
  </si>
  <si>
    <t>- Materai 6000</t>
  </si>
  <si>
    <t>lembar</t>
  </si>
  <si>
    <t>- Materai 3000</t>
  </si>
  <si>
    <t>Drs. SIGIT SUKARSANA,M.Si</t>
  </si>
  <si>
    <t>1………………</t>
  </si>
  <si>
    <t>Rasiani, S. Sos</t>
  </si>
  <si>
    <t>2……………..</t>
  </si>
  <si>
    <t>Slamet Priyanto</t>
  </si>
  <si>
    <t>3………………</t>
  </si>
  <si>
    <t>02.</t>
  </si>
  <si>
    <t xml:space="preserve">Penyediaan Jasa Komunikasi, Sumberdaya air </t>
  </si>
  <si>
    <t>dan Listrik</t>
  </si>
  <si>
    <t>Tersediaanya Penyediaan Komunikasi,  Sumberdaya air &amp; Listrik</t>
  </si>
  <si>
    <t>Adanya Penyediaan Komunikasi, Sumberdaya air &amp; Listrik</t>
  </si>
  <si>
    <t>Meningkatnya Penyediaan Komunikasi, Sumberdaya air &amp; Listrik</t>
  </si>
  <si>
    <t>Belanja Jasa Kantor</t>
  </si>
  <si>
    <t>Belanja Telepon</t>
  </si>
  <si>
    <t>- Biaya Rekening Telepon</t>
  </si>
  <si>
    <t>bln</t>
  </si>
  <si>
    <t>Belanja Air</t>
  </si>
  <si>
    <t>- Biaya Rekening Air</t>
  </si>
  <si>
    <t>Belanja Listrik</t>
  </si>
  <si>
    <t>- Biaya Rekening Listrik</t>
  </si>
  <si>
    <t>10.</t>
  </si>
  <si>
    <t>Tersedianya Penyediaan Alat Tulis Kantor</t>
  </si>
  <si>
    <t>Adanya Penyediaan Alat Tulis Kantor</t>
  </si>
  <si>
    <t>Meningkatnya Penyediaan Alat Tulis Kantor</t>
  </si>
  <si>
    <t>Belanja Barang dan jasa</t>
  </si>
  <si>
    <t>Belanja Alat Tulis Kantor</t>
  </si>
  <si>
    <t>- Kertas HVS 70 gram</t>
  </si>
  <si>
    <t>Rim</t>
  </si>
  <si>
    <t>Doos</t>
  </si>
  <si>
    <t>bh</t>
  </si>
  <si>
    <t>- Buku folio bergaris 100 lbr</t>
  </si>
  <si>
    <t>- Snelhehter plastik</t>
  </si>
  <si>
    <t>- Snelhehter kertas</t>
  </si>
  <si>
    <t>- Stopmap plastik</t>
  </si>
  <si>
    <t>- Stopmap kertas</t>
  </si>
  <si>
    <t>- Amplop kecil isi 100 lbr</t>
  </si>
  <si>
    <t>- Odner folio</t>
  </si>
  <si>
    <t>Rol</t>
  </si>
  <si>
    <t>botol</t>
  </si>
  <si>
    <t>set</t>
  </si>
  <si>
    <t>- Tinta stempel</t>
  </si>
  <si>
    <t>- Penghapus papan tulis</t>
  </si>
  <si>
    <t>- Pisau cutter besar</t>
  </si>
  <si>
    <t>btl</t>
  </si>
  <si>
    <t>- Tali Rafia besar</t>
  </si>
  <si>
    <t>kg</t>
  </si>
  <si>
    <t>- Isolasi</t>
  </si>
  <si>
    <t>rol</t>
  </si>
  <si>
    <t>.- Plakband</t>
  </si>
  <si>
    <t>- Pembulatan</t>
  </si>
  <si>
    <t>11.</t>
  </si>
  <si>
    <t>Tersedianya Penyediaan Barang Cetakan dan Penggandaan</t>
  </si>
  <si>
    <t>Adanya Penyediaan Barang Cetakan dan Penggandaan</t>
  </si>
  <si>
    <t>Meningkatnya Penyediaan Barang Cetakan dan Penggandaan</t>
  </si>
  <si>
    <t>Belanja Cetak dan Penggandaan</t>
  </si>
  <si>
    <t>Belanja Cetak</t>
  </si>
  <si>
    <t>`</t>
  </si>
  <si>
    <t>- Kop Dinas</t>
  </si>
  <si>
    <t>bk</t>
  </si>
  <si>
    <t>- Amplop Dinas</t>
  </si>
  <si>
    <t>- Kwitansi Dinas</t>
  </si>
  <si>
    <t>- Stomap Lambang</t>
  </si>
  <si>
    <t>lbr</t>
  </si>
  <si>
    <t>Belanja Penggandaan/fotocopy</t>
  </si>
  <si>
    <t>- fotocopy folio</t>
  </si>
  <si>
    <t>12.</t>
  </si>
  <si>
    <t>Penyediaan Komponen Instalasi Listrik/Penerangan</t>
  </si>
  <si>
    <t>Bangunan Kantor</t>
  </si>
  <si>
    <t>INDIKATOR &amp; TOLOK UKUR KINERJA BELANJA LANGSUNG</t>
  </si>
  <si>
    <t>Tersedianya Penyediaan Komponen Instalasi Listrik/Penerangan Bangunan Kantor</t>
  </si>
  <si>
    <t>Adanya Penyediaan Komponen Instalasi Listrik/Penerangan Bangunan Kantor</t>
  </si>
  <si>
    <t>Meningkatnya Penyediaan Komponen Instalasi Listrik/Penerangan Bangunan Kantor</t>
  </si>
  <si>
    <t xml:space="preserve">Belanja Alat Listrik dan Elektronik </t>
  </si>
  <si>
    <t>(lampu pijar, battery kering)</t>
  </si>
  <si>
    <t>meter</t>
  </si>
  <si>
    <t>13.</t>
  </si>
  <si>
    <t>Tersedianya Penyediaan Peralatan dan Perlengkapan Kantor</t>
  </si>
  <si>
    <t>Adanya Penyediaan Peralatan dan Perlengkapan Kantor</t>
  </si>
  <si>
    <t>Meningkatnya Penyediaan Peralatan dan Perlengkapan Kantor</t>
  </si>
  <si>
    <t>- Sapu lidi</t>
  </si>
  <si>
    <t>- Sapu ijuk</t>
  </si>
  <si>
    <t>- Keset</t>
  </si>
  <si>
    <t>- Sulak</t>
  </si>
  <si>
    <t>- Gayung</t>
  </si>
  <si>
    <t>- Pembersih kaca</t>
  </si>
  <si>
    <t>- Pewangi ruangan</t>
  </si>
  <si>
    <t>klg</t>
  </si>
  <si>
    <t>- Sikat WC</t>
  </si>
  <si>
    <t>- Sikat KM</t>
  </si>
  <si>
    <t>- Pembersih Porselin/Closet</t>
  </si>
  <si>
    <t>- Engkrak plastik</t>
  </si>
  <si>
    <t>- Lap kaca</t>
  </si>
  <si>
    <t>- Pembersih lantai</t>
  </si>
  <si>
    <t>- Tongkat pel</t>
  </si>
  <si>
    <t>- Sabit</t>
  </si>
  <si>
    <t>- Cangkul</t>
  </si>
  <si>
    <t>Belanja Bahan Bakar Minyak/Gas</t>
  </si>
  <si>
    <t>- Langganan LPG 12 kg</t>
  </si>
  <si>
    <t>tbg</t>
  </si>
  <si>
    <t>pak</t>
  </si>
  <si>
    <t>- Buku tulis isi 40 lbr</t>
  </si>
  <si>
    <t>- Penggaris plastik 30 cm</t>
  </si>
  <si>
    <t>- Penghapus cair (tipp ex)</t>
  </si>
  <si>
    <t>- Penghapus biasa (setip)</t>
  </si>
  <si>
    <t>- Blinder clips</t>
  </si>
  <si>
    <t>- Jepitan kertas (clip)</t>
  </si>
  <si>
    <t>doos</t>
  </si>
  <si>
    <t xml:space="preserve">- Isi cutter besar </t>
  </si>
  <si>
    <t>- Kertas Facimile 30 X 210</t>
  </si>
  <si>
    <t>- Perforator besar</t>
  </si>
  <si>
    <t xml:space="preserve">- Kain pel </t>
  </si>
  <si>
    <t>- Isi Bagus</t>
  </si>
  <si>
    <t xml:space="preserve">- Sabun deterjen crem </t>
  </si>
  <si>
    <t>15.</t>
  </si>
  <si>
    <t>Penyediaan Bahan Bacaan &amp; Peraturan Perundang-</t>
  </si>
  <si>
    <t>Undangan</t>
  </si>
  <si>
    <t>Tersedianya Penyediaan Bahan Bacaan &amp; Peraturan Perundang-undangan</t>
  </si>
  <si>
    <t>Adanya Penyediaan Bahan Bacaan &amp; Peraturan Perundang-undangan</t>
  </si>
  <si>
    <t>Meningkatnya Penyediaan Bahan Bacaan &amp; Peraturan Perundang-undangan</t>
  </si>
  <si>
    <t>Belanja Surat Kabar/Majalah</t>
  </si>
  <si>
    <t>- Langganan Harian Surat Kabar</t>
  </si>
  <si>
    <t xml:space="preserve">  Suara Merdeka  12 bln</t>
  </si>
  <si>
    <t xml:space="preserve">  Jawa Pos 12 bln</t>
  </si>
  <si>
    <t>Yunita SBR, A.Md</t>
  </si>
  <si>
    <t>17.</t>
  </si>
  <si>
    <t>Tersedianya Penyediaan Makanan dan Minuman Rapat</t>
  </si>
  <si>
    <t>Adanya Penyediaan Makanan dan Minuman Rapat</t>
  </si>
  <si>
    <t>Meningkatnya Penyediaan Makanan dan Minuman Rapat</t>
  </si>
  <si>
    <t>Belanja Makanan dan Minuman</t>
  </si>
  <si>
    <t>18.</t>
  </si>
  <si>
    <t>Rapat-rapat Koordinasi &amp; Konsultasi Ke Luar Daerah</t>
  </si>
  <si>
    <t>Tersedianya Rapat-rapat Koordinasi dan Konsultasi Luar Daerah</t>
  </si>
  <si>
    <t>Adanya Penyediaan Rapat-rapat Koordinasi dan Konsultasi Luar Daerah</t>
  </si>
  <si>
    <t>Meningkatnya Penyediaan Rapat-rapat Koordinasi dan Konsultasi Luar Daerah</t>
  </si>
  <si>
    <t>Belanja Perjalanan Dinas</t>
  </si>
  <si>
    <t>Belanja Perjalanan Dinas Luar Daerah</t>
  </si>
  <si>
    <t>OH</t>
  </si>
  <si>
    <t>atcost</t>
  </si>
  <si>
    <t>19.</t>
  </si>
  <si>
    <t>Rapat-rapat Koordinasi &amp; Konsultasi Dalam Daerah</t>
  </si>
  <si>
    <t>Tersedianya Rapat-rapat Koordinasi dan Konsultasi Dalam Daerah</t>
  </si>
  <si>
    <t>Adanya Rapat-rapat Koordinasi dan Konsultasi Dalam Daerah</t>
  </si>
  <si>
    <t>Meningkatnya  Rapat-rapat Koordinasi dan Konsultasi Dalam Daerah</t>
  </si>
  <si>
    <t>Belanja Perjalanan Dinas Dalam Daerah</t>
  </si>
  <si>
    <t>Uang Lembur</t>
  </si>
  <si>
    <t>Uang Lembur PNS</t>
  </si>
  <si>
    <t>24.</t>
  </si>
  <si>
    <t xml:space="preserve">Penyediaan Jasa Kebersihan &amp; Keamanan </t>
  </si>
  <si>
    <t xml:space="preserve">Tersedianya Penyediaan Jasa Kebersihan &amp; Keamanan </t>
  </si>
  <si>
    <t xml:space="preserve">Adanya Penyediaan Jasa Kebersihan &amp; Keamanan </t>
  </si>
  <si>
    <t xml:space="preserve">Meningkatnya Penyediaan Jasa Kebersihan &amp; Keamanan </t>
  </si>
  <si>
    <t>Honorarium Non PNS</t>
  </si>
  <si>
    <t>Honorarium PHL/Penjaga Malam/</t>
  </si>
  <si>
    <t>Petugas  Ketertiban/Kebersihan</t>
  </si>
  <si>
    <t>- Penjaga Malam Kantor</t>
  </si>
  <si>
    <t xml:space="preserve">  1 org X 12 bl</t>
  </si>
  <si>
    <t>- Acres/Pembulatan</t>
  </si>
  <si>
    <t>Belanja Retribusi Kebersihan Kota</t>
  </si>
  <si>
    <t xml:space="preserve">- RKK Kebersihan Kantor </t>
  </si>
  <si>
    <t>bulan</t>
  </si>
  <si>
    <t>26.</t>
  </si>
  <si>
    <t>Tersedianya Penyediaan Jasa Pelayanan Umum Pemerintahan</t>
  </si>
  <si>
    <t>Adanya Penyediaan Jasa Pelayanan Umum Pemerintahan</t>
  </si>
  <si>
    <t>Meningkatnya Penyediaan Jasa Pelayanan Umum Pemerintahan</t>
  </si>
  <si>
    <t>Honorarium Pegawai Honorer/Tidak Tetap</t>
  </si>
  <si>
    <t>- SLTA</t>
  </si>
  <si>
    <t>-Uang Kesejahteraan Tenaga Honorer/Tidak Tetap</t>
  </si>
  <si>
    <t>2.04.2.04.01.01.26.5.2.2.</t>
  </si>
  <si>
    <t>BELANJA BARANG DAN JASA</t>
  </si>
  <si>
    <t>2.04.2.04.01.01.26.5.2.2.02</t>
  </si>
  <si>
    <t>Belanja Bahan Material</t>
  </si>
  <si>
    <t>2.04.2.04.01.01.26.5.2.2.02.10</t>
  </si>
  <si>
    <t>Belanja Bahan &amp; Alat Perlengkapan Kegiatan</t>
  </si>
  <si>
    <t>- Air Bawah Tanah ( ABT )</t>
  </si>
  <si>
    <t>- Perpanjangan Izin Pengambilan Mata Air</t>
  </si>
  <si>
    <t xml:space="preserve">  (SIPMA)</t>
  </si>
  <si>
    <t>tahun</t>
  </si>
  <si>
    <t>2.04.2.04.01.01.26.5.2.2.03.</t>
  </si>
  <si>
    <t>2.04.2.04.01.01.26.5.2.2.03.19.</t>
  </si>
  <si>
    <t>Belanja Pajak Bumi dan Bangunan</t>
  </si>
  <si>
    <t>- Tanah PT. Dieng Jaya di Dieng</t>
  </si>
  <si>
    <t>- Tanah Tuk Bimo Lukar</t>
  </si>
  <si>
    <t>- Tanah untuk Jalan Putar Kawasan DPT</t>
  </si>
  <si>
    <t xml:space="preserve">- Tanah Tieng untuk DPT </t>
  </si>
  <si>
    <t>Tunjangan  Umum</t>
  </si>
  <si>
    <t>1 Orang X 12 bln</t>
  </si>
  <si>
    <t>22.</t>
  </si>
  <si>
    <t>Tersedianya Pemeliharaan Rutin/Berkala Gedung Kantor</t>
  </si>
  <si>
    <t>Adanya Pemeliharaan Rutin/Berkala Gedung Kantor</t>
  </si>
  <si>
    <t>Meningkatnya Pemeliharaan Rutin/Berkala Gedung Kantor</t>
  </si>
  <si>
    <t>Belanja Barang Dan Jasa</t>
  </si>
  <si>
    <t>Belanja Bahan/Material</t>
  </si>
  <si>
    <t>Belanja Bahan Baku Bangunan</t>
  </si>
  <si>
    <t>ltr</t>
  </si>
  <si>
    <t>Belanja Upah Tenaga/Tukang/Pekerja/</t>
  </si>
  <si>
    <t>Operator/Petugas Pelaksana</t>
  </si>
  <si>
    <t>org/hr</t>
  </si>
  <si>
    <t>Pemeliharaan rutin/Berkala Kendaraan Dinas/Operasional</t>
  </si>
  <si>
    <t>Tersedianya Pemeliharaan Rutin/Berkala Kendaraan Dinas/Operasional</t>
  </si>
  <si>
    <t>Adanya Pemeliharaan Rutin/Berkala Kendaraan Dinas/Operasional</t>
  </si>
  <si>
    <t>Meningkatnya Pemeliharaan Rutin/Berkala Kendaraan Dinas/Operasional</t>
  </si>
  <si>
    <t>Belanja Perawatan Kendaraan Bermotor</t>
  </si>
  <si>
    <t>Belanja Jasa Service</t>
  </si>
  <si>
    <t>- Service Roda Empat</t>
  </si>
  <si>
    <t>unit</t>
  </si>
  <si>
    <t>- Service Roda Dua</t>
  </si>
  <si>
    <t>Belanja Pengadaan Suku Cadang</t>
  </si>
  <si>
    <t>- Pengganti Suku Cadang Roda Empat</t>
  </si>
  <si>
    <t>- Pengganti Suku Cadang Roda Dua</t>
  </si>
  <si>
    <t>Belanja Bahan Bakar Minyak/Gas &amp;</t>
  </si>
  <si>
    <t>dan Pelumas</t>
  </si>
  <si>
    <t>Belanja Surat Tanda Nomor Kendaraan</t>
  </si>
  <si>
    <t>- Biaya Perpanjangan STNK roda dua</t>
  </si>
  <si>
    <t>- Pajak Perpanjangan Roda Empat</t>
  </si>
  <si>
    <t>30.</t>
  </si>
  <si>
    <t>Pemeliharaan rutin/Berkala Alat - Alat Kantor</t>
  </si>
  <si>
    <t>Tersedianya Pemeliharaan Rutin/Berkala Alat-alat Kantor</t>
  </si>
  <si>
    <t>Adanya Pemeliharaan Rutin/Berkala Alat-alat Kantor</t>
  </si>
  <si>
    <t>Meningkatnya Pemeliharaan Rutin/Berkala Alat-alat Kantor</t>
  </si>
  <si>
    <t>Belanja Jasa Service &amp; Penggantian Komponen</t>
  </si>
  <si>
    <t>- Mesin Ketik</t>
  </si>
  <si>
    <t>- CPU</t>
  </si>
  <si>
    <t>- Service Monitor</t>
  </si>
  <si>
    <t>- Service Printer</t>
  </si>
  <si>
    <t>32.</t>
  </si>
  <si>
    <t>Tersedianya Pemeliharaan Rutin/Berkala Perlengkapan Kantor</t>
  </si>
  <si>
    <t>Adanya Pemeliharaan Rutin/Berkala Perlengkapan Kantor</t>
  </si>
  <si>
    <t>Meningkatnya Pemeliharaan Rutin/Berkala Perlengkapan Kantor</t>
  </si>
  <si>
    <t>- Meja</t>
  </si>
  <si>
    <t>- Kursi</t>
  </si>
  <si>
    <t>thn</t>
  </si>
  <si>
    <t>box</t>
  </si>
  <si>
    <t xml:space="preserve">  Cat besi</t>
  </si>
  <si>
    <t xml:space="preserve">  Cat tembok</t>
  </si>
  <si>
    <t xml:space="preserve">  Minyak cat besi</t>
  </si>
  <si>
    <t xml:space="preserve">  Cat kayu</t>
  </si>
  <si>
    <t xml:space="preserve">  Minyak cat kayu</t>
  </si>
  <si>
    <t xml:space="preserve">  Roll cat</t>
  </si>
  <si>
    <t xml:space="preserve">  Amplas</t>
  </si>
  <si>
    <t xml:space="preserve">  Aqua prof</t>
  </si>
  <si>
    <t xml:space="preserve">  Semen putih</t>
  </si>
  <si>
    <t xml:space="preserve">  Lem kayu fox</t>
  </si>
  <si>
    <t>unit/thn</t>
  </si>
  <si>
    <t>2.04.2.04.02.00.00.5.1.1.02</t>
  </si>
  <si>
    <t>2.04.2.04.02.00.00.5.1.1.02.01</t>
  </si>
  <si>
    <t>KANTOR PARIWISATA DAN EKONOMI KREATIF</t>
  </si>
  <si>
    <t>KEPALA KANTOR PARIWISATA</t>
  </si>
  <si>
    <t>DAN EKONOMI KREATIF</t>
  </si>
  <si>
    <t>AGUS PURNOMO,SH.S.Sos. M.Si</t>
  </si>
  <si>
    <t>NIP. 19581024 198607 1 002</t>
  </si>
  <si>
    <t>KARDIMIN, SH</t>
  </si>
  <si>
    <t>NIP. 19601113 198103 1 008</t>
  </si>
  <si>
    <t>Pembina Utama Muda</t>
  </si>
  <si>
    <t>Penyediaan Jasa Komunikasi, Sumber Daya Air dan listrik</t>
  </si>
  <si>
    <t>SEBELUM PERUBAHAN</t>
  </si>
  <si>
    <t>Gol III</t>
  </si>
  <si>
    <t>Gol I</t>
  </si>
  <si>
    <t>Gol II</t>
  </si>
  <si>
    <t>15 org X 12 bln</t>
  </si>
  <si>
    <t>Tahun Anggaran 2016</t>
  </si>
  <si>
    <t>2.04.2.04.01.00.00.5.1.1.01.</t>
  </si>
  <si>
    <t>2.04.2.04.01.00.00.5.1.1.01.01.</t>
  </si>
  <si>
    <t>2.04.2.04.01.00.00.5.1.1.01.02.</t>
  </si>
  <si>
    <t>2.04.2.04.01.00.00.5.1.1.01.03.</t>
  </si>
  <si>
    <t>2.04.2.04.01.00.00.5.1.1.01.05.</t>
  </si>
  <si>
    <t>2.04.2.04.01.00.00.5.1.1.01.06.</t>
  </si>
  <si>
    <t>2.04.2.04.01.00.00.5.1.1.01.07.</t>
  </si>
  <si>
    <t>2.04.2.04.01.00.00.5.1.1.01.08.</t>
  </si>
  <si>
    <t>Yuli Setyaningsih, SE</t>
  </si>
  <si>
    <t>- isi ballpoint pentel</t>
  </si>
  <si>
    <t>- stabilo boss  kecil isi 6</t>
  </si>
  <si>
    <t>- Buku kwitansi 100 lbr</t>
  </si>
  <si>
    <t>- Lem cair tanggung</t>
  </si>
  <si>
    <t xml:space="preserve">- Pita mesin tik  </t>
  </si>
  <si>
    <t xml:space="preserve">- Pembulatan </t>
  </si>
  <si>
    <t>- Tissue closet</t>
  </si>
  <si>
    <t>- Tempat sabun</t>
  </si>
  <si>
    <t>Wonosobo,       Januari  2016</t>
  </si>
  <si>
    <t xml:space="preserve">Perjalanan Dinas Ke Luar Jawa, DKI, </t>
  </si>
  <si>
    <t>Banten, Jabar, Jatim</t>
  </si>
  <si>
    <t>- Eselon IV/PNS Gol III</t>
  </si>
  <si>
    <t>Perjalanan Dinas ke Semarang, DIY, dan</t>
  </si>
  <si>
    <t>Propinsi Jawa Tengah (diatas 120 km)</t>
  </si>
  <si>
    <t>Perjalanan antar Kota/Kabupaten  Dlm</t>
  </si>
  <si>
    <t>- Biaya transport &amp; Penginapan</t>
  </si>
  <si>
    <t>Perjalanan Dinas antar kota/kabupaten</t>
  </si>
  <si>
    <t>dlm Provinsi Jawa Tengah (81-120 km)</t>
  </si>
  <si>
    <t>Belanja Perjalanan Dinas Dalam</t>
  </si>
  <si>
    <t>Daerah (5 - 25 km)</t>
  </si>
  <si>
    <t>Rasiani,S. Sos</t>
  </si>
  <si>
    <t>- Petugas Kebersihan Kantor</t>
  </si>
  <si>
    <t>- Petugas Kebersihan Anjungan</t>
  </si>
  <si>
    <t xml:space="preserve">  Maerokoco Jawa Tengah</t>
  </si>
  <si>
    <t xml:space="preserve">   1 org X 12 bl</t>
  </si>
  <si>
    <t xml:space="preserve">  Cat tembok (decolith)</t>
  </si>
  <si>
    <t>Org/hr</t>
  </si>
  <si>
    <t>26</t>
  </si>
  <si>
    <t>Adanya  Penyediaan Jasa Pelayanan Umum Pemerintahan</t>
  </si>
  <si>
    <t>Meningkatnya  Penyediaan Jasa Pelayanan Umum Pemerintahan</t>
  </si>
  <si>
    <t>2…………..</t>
  </si>
  <si>
    <t>1 org X 14 bln</t>
  </si>
  <si>
    <t>4 org X 14 bln</t>
  </si>
  <si>
    <t>12 org X 14 bln</t>
  </si>
  <si>
    <t>3 org X 14 bln</t>
  </si>
  <si>
    <t>Tunjangan Istri/suami</t>
  </si>
  <si>
    <t>Tunjangan Anak</t>
  </si>
  <si>
    <t>i org X 14 bln</t>
  </si>
  <si>
    <t>5 org X 14 bln</t>
  </si>
  <si>
    <t>9 org X 14 bln</t>
  </si>
  <si>
    <t>11 org X 14 bln</t>
  </si>
  <si>
    <t>3 org X 12 bln</t>
  </si>
  <si>
    <t>12 org X 12 bln</t>
  </si>
  <si>
    <t>32 org X 12 bln</t>
  </si>
  <si>
    <t>10 org X 12 bln</t>
  </si>
  <si>
    <t>PARAF TIM PENELITI</t>
  </si>
  <si>
    <t>1.......................</t>
  </si>
  <si>
    <t>- Kalkulator sedang</t>
  </si>
  <si>
    <t>10 org X 14 bln</t>
  </si>
  <si>
    <t>Turono,SE</t>
  </si>
  <si>
    <t>2…………………………</t>
  </si>
  <si>
    <t>Dwi Setyono,H,SE</t>
  </si>
  <si>
    <t>1. ............</t>
  </si>
  <si>
    <t>15.10</t>
  </si>
  <si>
    <t>Fasilitasi Promosi Pariwisata</t>
  </si>
  <si>
    <t>16.12</t>
  </si>
  <si>
    <t>18</t>
  </si>
  <si>
    <t>Program Pengembangan Ekonomi Kreatif</t>
  </si>
  <si>
    <t>- Stop kontak In Bow broco</t>
  </si>
  <si>
    <t>- Stop kontak Out Bow elso</t>
  </si>
  <si>
    <t>TIM PENELITI DPA - SKPD</t>
  </si>
  <si>
    <t>Rasiani, S.Sos</t>
  </si>
  <si>
    <t>1..........</t>
  </si>
  <si>
    <t>2...........</t>
  </si>
  <si>
    <t>V</t>
  </si>
  <si>
    <t>Kabag Keuangan Setda Wonosobo</t>
  </si>
  <si>
    <t>Tahun Anggaran 2017</t>
  </si>
  <si>
    <t>3.02</t>
  </si>
  <si>
    <t>3.02.01.</t>
  </si>
  <si>
    <t>3.02.3.02.01.01</t>
  </si>
  <si>
    <t xml:space="preserve">DINAS PARIWISATA DAN KEBUDAYAAN </t>
  </si>
  <si>
    <t>Januari s/d Desember 2017</t>
  </si>
  <si>
    <t>3.02.3.02.01.01.01.5.2</t>
  </si>
  <si>
    <t>3.02.3.02.01.01.01.5.2.2.</t>
  </si>
  <si>
    <t>3.02.3.02.01.01.01.5.2.2.01.</t>
  </si>
  <si>
    <t>3.02.3.02.01.01.01.5.2.2.01.04.</t>
  </si>
  <si>
    <t>Plt</t>
  </si>
  <si>
    <t>Wonosobo,    Januari  2017</t>
  </si>
  <si>
    <t>3.02.01</t>
  </si>
  <si>
    <t>3.02.3.02.01.00.00.4</t>
  </si>
  <si>
    <t>PENDAPATAN</t>
  </si>
  <si>
    <t>3.02.3.02.01.00.00.4.1</t>
  </si>
  <si>
    <t>PENDAPATAN ASLI DAERAH</t>
  </si>
  <si>
    <t>3.02.3.02.01.00.00.4.1.2</t>
  </si>
  <si>
    <t>Hasil Retribusi Daerah</t>
  </si>
  <si>
    <t>3.02.3.02.01.00.00.4.1.2.02</t>
  </si>
  <si>
    <t>Retribusi Jasa Usaha</t>
  </si>
  <si>
    <t>3.02.3.02.01.00.00.5</t>
  </si>
  <si>
    <t>3.02.3.02.01.00.00.5.1</t>
  </si>
  <si>
    <t>3.02.3.02.01.00.00.5.1.1</t>
  </si>
  <si>
    <t xml:space="preserve">BELANJA </t>
  </si>
  <si>
    <t>3.02.3.02.01.00.00.5.2.</t>
  </si>
  <si>
    <t>3.02.3.02.01.01.01.5.2.2</t>
  </si>
  <si>
    <t>Wonosobo,      Januari 2017</t>
  </si>
  <si>
    <t>Drs. M.  KRISTIJADI, M.Si</t>
  </si>
  <si>
    <t>19681226 199403 1 005</t>
  </si>
  <si>
    <t>3.02..02.01.01.</t>
  </si>
  <si>
    <t>3.02.3.02.01.01.02</t>
  </si>
  <si>
    <t>3.02.</t>
  </si>
  <si>
    <t>3.02.3.02.01.01.15</t>
  </si>
  <si>
    <t>3.02..02.01.01.11</t>
  </si>
  <si>
    <t>3.02..02.01.01.10.</t>
  </si>
  <si>
    <t>3.02..02.01.01.12</t>
  </si>
  <si>
    <t>3.02.3.02.01.01.12.5.2.2.</t>
  </si>
  <si>
    <t>3.02.3.02.01.01.12.5.2.2.01</t>
  </si>
  <si>
    <t>3.02.3.02.01.01.12.5.2.2.01.03</t>
  </si>
  <si>
    <t>3.02.3.02.01.01.02.5.2.2</t>
  </si>
  <si>
    <t>3.02.3.02.01.01.02.5.2.2.03.01</t>
  </si>
  <si>
    <t>3.02.3.02.01.01.02.5.2.2.03</t>
  </si>
  <si>
    <t>3.02.3.02.01.01.02.5.2.2.03.02</t>
  </si>
  <si>
    <t>3.02.3.02.01.01.02.5.2.2.03.03</t>
  </si>
  <si>
    <t>3.02.3.02.01.01.15.5.2.2</t>
  </si>
  <si>
    <t>3.02.3.02.01.01.15.5.2.2.03</t>
  </si>
  <si>
    <t>3.02.3.02.01.01.15.5.2.2.03.05</t>
  </si>
  <si>
    <t xml:space="preserve"> - Stempel Kusen Stampad</t>
  </si>
  <si>
    <t>3.02.3.02.01.01.11.5.2.2.</t>
  </si>
  <si>
    <t>3.02.3.02.01.01.11.5.2.2.06</t>
  </si>
  <si>
    <t>3.02.3.02.01.01.11.5.2.2.06.01</t>
  </si>
  <si>
    <t xml:space="preserve"> - Cetakan TTUK ( Tanda Terima Uang Koordinator )</t>
  </si>
  <si>
    <t xml:space="preserve"> - Cetakan STS</t>
  </si>
  <si>
    <t>3.02.3.02.01.01.11.5.2.2.06.02</t>
  </si>
  <si>
    <t>Buku</t>
  </si>
  <si>
    <t xml:space="preserve"> - Pembulatan</t>
  </si>
  <si>
    <t>KEPALA DINAS PARIWISATA</t>
  </si>
  <si>
    <t>DAN KEBUDAYAAN</t>
  </si>
  <si>
    <t>3.02.3.02.01.01.13.</t>
  </si>
  <si>
    <t>3.02.3.02.01.01.13.5.2.2</t>
  </si>
  <si>
    <t>3.02.3.02.01.01.13.5.2.2.01</t>
  </si>
  <si>
    <t>3.02.3.02.01.01.13.5.2.2.01.05</t>
  </si>
  <si>
    <t>3.02.3.02.01.01.13.5.2.2.01.06</t>
  </si>
  <si>
    <t>Belanja Peralatan kebersihan Dan Bahan Pembersih</t>
  </si>
  <si>
    <t>3.02.3.02.01.01.17.5.2.2.11.02</t>
  </si>
  <si>
    <t>3.02.3.02.01.01.17.5.2.2.11.03</t>
  </si>
  <si>
    <t>3.02.3.02.01.01.18</t>
  </si>
  <si>
    <t>3.02.3.02.01.01.18.5.2.2.</t>
  </si>
  <si>
    <t>3.02.3.02.01.01.18.5.2.2.15</t>
  </si>
  <si>
    <t>3.02.3.02.01.01.18.5.2.2.15.02</t>
  </si>
  <si>
    <t>- Eselon III /PNS Gol IV</t>
  </si>
  <si>
    <t>org /bln</t>
  </si>
  <si>
    <t xml:space="preserve"> - RKK Kebersihan Obyek Wisata</t>
  </si>
  <si>
    <t>3.02.3.02.01.01.24.</t>
  </si>
  <si>
    <t>3.02.3.02.01.01.24.5.2.2.</t>
  </si>
  <si>
    <t>3.02.3.02.01.01.24.5.2.2.03</t>
  </si>
  <si>
    <t>3.02.3.02.01.02.22.</t>
  </si>
  <si>
    <t>Peningkatan Sarana dan Prasarana Aparatur</t>
  </si>
  <si>
    <t>3.02..02.01.02</t>
  </si>
  <si>
    <t>3.02.3.02.01.02.22.5.2.2.02</t>
  </si>
  <si>
    <t>3.02.3.02.01.02.22.5.2.2</t>
  </si>
  <si>
    <t>3.02.3.02.01.02.22.5.2.2.02.01</t>
  </si>
  <si>
    <t>3.02.3.02.01.02</t>
  </si>
  <si>
    <t>3.02.3.02.01.02.24.5.2.2</t>
  </si>
  <si>
    <t>3.02.3.02.01.02.24.5.2.2.05</t>
  </si>
  <si>
    <t>3.02.3.02.01.02.24.5.2.2.05.01</t>
  </si>
  <si>
    <t>3.02.3.02.01.02.24.5.2.2.05.02</t>
  </si>
  <si>
    <t>3.02.3.02.01.02.24.5.2.2.05.03</t>
  </si>
  <si>
    <t>3.02.3.02.01.02.24.5.2.2.05.05</t>
  </si>
  <si>
    <t>3.02.3.02.01.02.30.</t>
  </si>
  <si>
    <t>3.02.3.02.01.02.30.5.2.2</t>
  </si>
  <si>
    <t>3.02.3.02.01.02.30.5.2.2.03</t>
  </si>
  <si>
    <t>3.02.3.02.01.02.30.5.2.2.03.21</t>
  </si>
  <si>
    <t>3.02.3.02.01.01.19.</t>
  </si>
  <si>
    <t>3.02.3.02.01.01.19.5.2.2.</t>
  </si>
  <si>
    <t>3.02.3.02.01.01.19.5.2.2.15</t>
  </si>
  <si>
    <t>3.02.3.02.01.01.19.5.2.2.15.01</t>
  </si>
  <si>
    <t>- Eselon III/ PNS gol IV</t>
  </si>
  <si>
    <t>3.02.3.02.01.01.26.</t>
  </si>
  <si>
    <t>3.02.3.02.01.01.26.5.2.1.</t>
  </si>
  <si>
    <t>3.02.3.02.01.01.26.5.2.1.03</t>
  </si>
  <si>
    <t>3.02.3.02.01.01.26.5.2.1.03.01</t>
  </si>
  <si>
    <t>2 org X 2 kali x 2 hr</t>
  </si>
  <si>
    <t>2org X 2 kali x 1 hr</t>
  </si>
  <si>
    <t>4org X 10kali</t>
  </si>
  <si>
    <t>,- PNS gol II/I</t>
  </si>
  <si>
    <t>- Pengemudi</t>
  </si>
  <si>
    <t>6org X 10 kali</t>
  </si>
  <si>
    <t xml:space="preserve">- PNS gol II, dan I </t>
  </si>
  <si>
    <t>3.02.3.02.01.01.26.5.2.1.02</t>
  </si>
  <si>
    <t>3.02.3.02.01.01.26.5.2.1.02.02</t>
  </si>
  <si>
    <t>3.02.3.02.01.01.26.5.2.2</t>
  </si>
  <si>
    <t>3.02.3.02.01.01.26.5.2.2.03</t>
  </si>
  <si>
    <t>3.02.3.02.01.01.26.5.2.2.03.19</t>
  </si>
  <si>
    <t>3.02.3.02.01.01.24.5.2.2.03.17</t>
  </si>
  <si>
    <t>3.02.3.02.01.01.24.5.2.2.03.18</t>
  </si>
  <si>
    <t>1 ...................</t>
  </si>
  <si>
    <t>2 ......................</t>
  </si>
  <si>
    <t>3.02.3.02.01.01.26.5.2.2.03.49</t>
  </si>
  <si>
    <t>Belanja Pajak ABT</t>
  </si>
  <si>
    <t>2 Orang X 12 bln</t>
  </si>
  <si>
    <t>3.02.3.02.01.02.22.5.2.2.02.03</t>
  </si>
  <si>
    <t>Bln</t>
  </si>
  <si>
    <t>atcos</t>
  </si>
  <si>
    <t>3.02.1.</t>
  </si>
  <si>
    <t>15.08</t>
  </si>
  <si>
    <t>15.15</t>
  </si>
  <si>
    <t>Penyusunan Perda RIPKDA</t>
  </si>
  <si>
    <t>15.17</t>
  </si>
  <si>
    <t>15.18</t>
  </si>
  <si>
    <t>Program Pengembangan Nilai Budaya</t>
  </si>
  <si>
    <t>15.06</t>
  </si>
  <si>
    <t>Parade Seni Dalam Rangka HUT Prov. Jateng</t>
  </si>
  <si>
    <t>Pentas Hari Jadi Wonosobo dan Birat Sengkolo</t>
  </si>
  <si>
    <t>Pentas Wayang RRI Purwokerto (pajak rokok )</t>
  </si>
  <si>
    <t>Pengiriman Duta Kesenian Festival TMII</t>
  </si>
  <si>
    <t>Fasilitasi Dewan Kesenian Daerah</t>
  </si>
  <si>
    <t>Kegiatan Pendukung Hari Jadi Wonosobo               ( Pentas Seni )</t>
  </si>
  <si>
    <t>16.09</t>
  </si>
  <si>
    <t>16.13</t>
  </si>
  <si>
    <t>16.14</t>
  </si>
  <si>
    <t>16.15</t>
  </si>
  <si>
    <t>16.16</t>
  </si>
  <si>
    <t>16.17</t>
  </si>
  <si>
    <t>16.18</t>
  </si>
  <si>
    <t>16.19</t>
  </si>
  <si>
    <t>Operasional Pekan Lebaran ( pajak rokok )</t>
  </si>
  <si>
    <t>Pelatihan Pengelolaan Industri Pariwisata ( Home Stay dan Rumah Makan )(DBHCHT)</t>
  </si>
  <si>
    <t>Pembangunan Jalur Wisata Bukit Seroja</t>
  </si>
  <si>
    <t>Pelatihan Guide Pariwisata</t>
  </si>
  <si>
    <t>Pembuatan Pintu Holding Ruangan Dekranasda, Pembuatan Kanopi dan Perbaikan Atap / Plafon Gedung Mandala Wisata</t>
  </si>
  <si>
    <t>Pengelolaan Obyek Wisata Dieng</t>
  </si>
  <si>
    <t>Pengaspalan Pintu Masuk Gerbang Wisata Lembah Dieng</t>
  </si>
  <si>
    <t>Fasilitasi Rest Area di Desa Candiyasan ( pajak rokok )</t>
  </si>
  <si>
    <t>Pengembangan Obyek Wisata Wadaslintang</t>
  </si>
  <si>
    <t xml:space="preserve">17 </t>
  </si>
  <si>
    <t xml:space="preserve">Program Pengembangan Kemitraan </t>
  </si>
  <si>
    <t>Pembinaan dan Konversi Pokdarwis Tingkat Jawa Tengah ( DBHCHT )</t>
  </si>
  <si>
    <t>Forum Komunikasi Desa Wisata ( pajak rokok )</t>
  </si>
  <si>
    <t>Pengembangan Kemitraan dengan Pemerintah Provinsi Bali</t>
  </si>
  <si>
    <t>17.10</t>
  </si>
  <si>
    <t>17.11</t>
  </si>
  <si>
    <t>17.12</t>
  </si>
  <si>
    <t>Pembinaan dan Pelatihan  Pelaku Ekonomi Kreatif ( DBHCHT )</t>
  </si>
  <si>
    <t>18.04</t>
  </si>
  <si>
    <t>18.05</t>
  </si>
  <si>
    <t>Penylenggaraan Kegiatan Festival Budaya Daerah ( Pajak Rokok )</t>
  </si>
  <si>
    <t xml:space="preserve">RINCIAN DOKUMEN PELAKSANAAN ANGGARAN </t>
  </si>
  <si>
    <t xml:space="preserve">PENDAPATAN SATUAN KERJA </t>
  </si>
  <si>
    <t>BELANJA LANGSU</t>
  </si>
  <si>
    <t>Pendpatan Asli Daerah</t>
  </si>
  <si>
    <t>3.02.3.02.01.00.00.4.1.2.02.10</t>
  </si>
  <si>
    <t>Retribusi Tempat Rekreasi dan Olah Raga</t>
  </si>
  <si>
    <t>- Obyek Wisata Dataran      Tinggi Dieng</t>
  </si>
  <si>
    <t>- Obyek Wisata Lembah Dieng</t>
  </si>
  <si>
    <t>- Obyek Wisata Telaga Menjer</t>
  </si>
  <si>
    <t>- Obyek Wisata Mangli</t>
  </si>
  <si>
    <t>- Obyek Wisata Kalianget</t>
  </si>
  <si>
    <t>- Obyek Wisata Waduk Wadaslintang</t>
  </si>
  <si>
    <t>Wagimin, SH</t>
  </si>
  <si>
    <t>Joko Fitrijanto, SE</t>
  </si>
  <si>
    <t>- Gol IV,</t>
  </si>
  <si>
    <t xml:space="preserve">  Wonosobo Ekspres 12 bln</t>
  </si>
  <si>
    <t>3.02.3.02.01.02.32.</t>
  </si>
  <si>
    <t>3.02.3.02.01.02.32.5.2.2</t>
  </si>
  <si>
    <t>3.02.3.02.01.02.32.5.2.2.03.</t>
  </si>
  <si>
    <t>3.02.3.02.01.02.32.5.2.2.03.21.</t>
  </si>
  <si>
    <t>16.20</t>
  </si>
  <si>
    <t>Penunjang Replika Program PLPBK Desa Wisata Lestari</t>
  </si>
  <si>
    <t xml:space="preserve"> Kabupaten Wonosobo</t>
  </si>
  <si>
    <t>RINCIAN DOKUMEN PELAKSANAAN ANGGARAN BELANJA LANGSUNG</t>
  </si>
  <si>
    <t>MENURUT PROGRAM DAN KEGIATAN SATUAN KERJA PERANGKAT DAERAH</t>
  </si>
  <si>
    <t>3.02.3.02.01.01.01.5</t>
  </si>
  <si>
    <t>- Eselon II</t>
  </si>
  <si>
    <t>3.02.3.02.01.01.02.5</t>
  </si>
  <si>
    <t>3.02.3.02.01.01.02.5.2</t>
  </si>
  <si>
    <t>3.02.3.02.01.01.10.5.2</t>
  </si>
  <si>
    <t>3.02.3.02.01.01.10.5</t>
  </si>
  <si>
    <t>3.02.3.02.01.01.10.5.2.2.01</t>
  </si>
  <si>
    <t>3.02.3.02.01.01.10.5.2.2.01.01</t>
  </si>
  <si>
    <t>3.02.3.02.01.01.10.5.2.2</t>
  </si>
  <si>
    <t>3.02.3.02.01.01.11.5</t>
  </si>
  <si>
    <t>3.02.3.02.01.01.11.5.2</t>
  </si>
  <si>
    <t>3.02.3.02.01.01.12.5</t>
  </si>
  <si>
    <t>3.02.3.02.01.01.12.5.2</t>
  </si>
  <si>
    <t>3.02.3.02.01.01.13.5</t>
  </si>
  <si>
    <t>3.02.3.02.01.01.13.5.2</t>
  </si>
  <si>
    <t>3.02.3.02.01.01.15.5</t>
  </si>
  <si>
    <t>3.02.3.02.01.01.15.5.2</t>
  </si>
  <si>
    <t>3.02.3.02.01.01.17.5</t>
  </si>
  <si>
    <t>3.02.3.02.01.01.17.5.2</t>
  </si>
  <si>
    <t>3.02.3.02.01.01.18.5.2</t>
  </si>
  <si>
    <t>3.02.3.02.01.01.18.5</t>
  </si>
  <si>
    <t>3.02.3.02.01.01.19.5.2</t>
  </si>
  <si>
    <t>3.02.3.02.01.01.19.5</t>
  </si>
  <si>
    <t>3.02.3.02.01.01.26.5.2</t>
  </si>
  <si>
    <t>3.02.3.02.01.01.26.5</t>
  </si>
  <si>
    <t>3.02.3.02.01.01.24.5.2</t>
  </si>
  <si>
    <t>3.02.3.02.01.01.24.5</t>
  </si>
  <si>
    <t>3.02.3.02.01.02.22.5</t>
  </si>
  <si>
    <t>3.02.3.02.01.02.22.5.2</t>
  </si>
  <si>
    <t>3.02.3.02.01.02.24.5</t>
  </si>
  <si>
    <t>3.02.3.02.01.02.24.5.2</t>
  </si>
  <si>
    <t>3.02.3.02.01.02.30.5</t>
  </si>
  <si>
    <t>3.02.3.02.01.02.30.5.2</t>
  </si>
  <si>
    <t>3.02.3.02.01.02.32.5</t>
  </si>
  <si>
    <t>3.02.3.02.01.02.32.5.2</t>
  </si>
  <si>
    <t xml:space="preserve"> 15.10</t>
  </si>
  <si>
    <t xml:space="preserve"> 15.13</t>
  </si>
  <si>
    <t xml:space="preserve"> 15.15</t>
  </si>
  <si>
    <t>Pemilihan Duta Wisata</t>
  </si>
  <si>
    <t>Penyusunan Perda Usaha Pariwisata ( 13 Bidang Usaha Pariwisata ) Kabupaten Wonosobo</t>
  </si>
  <si>
    <t xml:space="preserve"> 15.16</t>
  </si>
  <si>
    <t xml:space="preserve"> 15.17</t>
  </si>
  <si>
    <t xml:space="preserve"> 15.18</t>
  </si>
  <si>
    <t>Sertifikasi Usaha Pariwisata</t>
  </si>
  <si>
    <t>Pengembangan Destinasi Obyek Wisata Kalianget</t>
  </si>
  <si>
    <t xml:space="preserve"> 15.19</t>
  </si>
  <si>
    <t>Pengembangan Destinasi Obyek Wisata Kalianget ( Bantuan Provinsi )</t>
  </si>
  <si>
    <t>3.02.3.02.01.00.00.5.2.1</t>
  </si>
  <si>
    <t>MATERAI</t>
  </si>
  <si>
    <t>BELANAJ</t>
  </si>
  <si>
    <t>LISTRIK</t>
  </si>
  <si>
    <t>5.2.2</t>
  </si>
  <si>
    <t xml:space="preserve"> BARANG DAN JASA</t>
  </si>
  <si>
    <t>ATK</t>
  </si>
  <si>
    <t>CETAK</t>
  </si>
  <si>
    <t>INSTALASI</t>
  </si>
  <si>
    <t>KORAN</t>
  </si>
  <si>
    <t>MAKAN SNACK</t>
  </si>
  <si>
    <t>DINAS LUAR</t>
  </si>
  <si>
    <t>DINAS DALAM</t>
  </si>
  <si>
    <t>KEBERSIHAN KTR</t>
  </si>
  <si>
    <t>KEBERSIHAN RKK</t>
  </si>
  <si>
    <t>LEMBUR</t>
  </si>
  <si>
    <t>KENDARAAN</t>
  </si>
  <si>
    <t>SRVICE KOMPONEN</t>
  </si>
  <si>
    <t>PENGGANTI KOMPONEN</t>
  </si>
  <si>
    <t>PARADE SENI</t>
  </si>
  <si>
    <t>RRI</t>
  </si>
  <si>
    <t>TMII</t>
  </si>
  <si>
    <t>DKD</t>
  </si>
  <si>
    <t>PENGEMB DESTINASI XANGET</t>
  </si>
  <si>
    <t>CAT</t>
  </si>
  <si>
    <t>PEMBINAAN EKONOMI KREATIF</t>
  </si>
  <si>
    <t>HARI JADI PENDUKUNG</t>
  </si>
  <si>
    <t xml:space="preserve">FESTIVAAL BUDAYA </t>
  </si>
  <si>
    <t>FESTIVAL BUDAYA</t>
  </si>
  <si>
    <t>KEMITRAAN BALI</t>
  </si>
  <si>
    <t>PENGEMB OBWIS WDSLNTG</t>
  </si>
  <si>
    <t>OPERASIONAL PEKAN LEBARAN</t>
  </si>
  <si>
    <t>PRORGAM PENGEMB NILAI BUDAYA ( MB YANTI )</t>
  </si>
  <si>
    <t>Forum komunikasi desa wisata</t>
  </si>
  <si>
    <t>Pembinaan pemandu wisata</t>
  </si>
  <si>
    <t>Pelatihan guide prwsta</t>
  </si>
  <si>
    <t>Pemiloihan duwis</t>
  </si>
  <si>
    <t>Pembinaan pokdarwis</t>
  </si>
  <si>
    <t>sertifikasi usaha prwsta</t>
  </si>
  <si>
    <t>Penyusunan perda usaha prwsata 13 bidang usaha</t>
  </si>
  <si>
    <t>Pembangunan jalur wsta bukit seroja</t>
  </si>
  <si>
    <t>Pengaspalan pintu masuk gerang lmbah dieng</t>
  </si>
  <si>
    <t>fasilitasi rest area candiyasan</t>
  </si>
  <si>
    <t>penyusunan perda RIPKDA</t>
  </si>
  <si>
    <t>Penunjang replika program desa wisata lesatari</t>
  </si>
  <si>
    <t>2.......................</t>
  </si>
  <si>
    <t xml:space="preserve">Pelatihan pengelolaan industri pariwisata </t>
  </si>
  <si>
    <t>v</t>
  </si>
  <si>
    <t>pembuatan pintu holdingruang dekranasda</t>
  </si>
  <si>
    <t>Pendapatan Asli Daerah</t>
  </si>
  <si>
    <t>pengelolaan obwis dieng</t>
  </si>
  <si>
    <t>dpa blm ada</t>
  </si>
  <si>
    <t>pelatihan guide prwsta</t>
  </si>
  <si>
    <t>pegawai</t>
  </si>
  <si>
    <t>honor pengel keu</t>
  </si>
  <si>
    <t>PEGAWAI</t>
  </si>
  <si>
    <t>HARI JADI BIRAT SENGKOLO</t>
  </si>
  <si>
    <t>PROGRAM PENGEMBANGAN PEMASARAN</t>
  </si>
  <si>
    <t>Fasilitasi promosi</t>
  </si>
  <si>
    <t>MODAL</t>
  </si>
  <si>
    <t xml:space="preserve">PROGRAM DESTINASI PARIWISATA </t>
  </si>
  <si>
    <t>PROGRAM PENGEMBANGAN KEMITRAAN</t>
  </si>
  <si>
    <t>PROGRAM PENGEMBANGAN  EKONOMI KREATIF</t>
  </si>
  <si>
    <t>x</t>
  </si>
  <si>
    <t>nyto</t>
  </si>
  <si>
    <t>PENGEMB DESTINASI XANGET ( bangub )</t>
  </si>
  <si>
    <t>2 ……………</t>
  </si>
  <si>
    <t>mskafi</t>
  </si>
  <si>
    <t>nyoto</t>
  </si>
  <si>
    <t xml:space="preserve">KEPALA DINAS PARIWISATA </t>
  </si>
  <si>
    <t>NIP.19600429 199203 1 002</t>
  </si>
  <si>
    <t>Wonosobo,      Januari   2017</t>
  </si>
  <si>
    <t>Drs. M. KRISTIJADI,M.Si</t>
  </si>
  <si>
    <t>NIP.  19681226 199403 1 005</t>
  </si>
  <si>
    <t>2.15</t>
  </si>
  <si>
    <t>15</t>
  </si>
  <si>
    <t>1 …………………………</t>
  </si>
  <si>
    <t>2 …………………………..</t>
  </si>
  <si>
    <t xml:space="preserve"> SEBELUM PERUBAHAN TRI WILAN</t>
  </si>
  <si>
    <t xml:space="preserve"> SETELAH PERUBAHAN TRI WILAN</t>
  </si>
  <si>
    <t>%</t>
  </si>
  <si>
    <t>BERTAMBAH (BERKURANG)</t>
  </si>
  <si>
    <t>Drs. ONE ANDANG WARDOYO,M.Si</t>
  </si>
  <si>
    <t>NIP.19680925 198803 1 003</t>
  </si>
  <si>
    <t>Wonosobo,       Oktober 2017</t>
  </si>
  <si>
    <t>Pembentukan dan Fasilitasi Team TACB  Tingkat Kabupaten</t>
  </si>
  <si>
    <t>15.20</t>
  </si>
  <si>
    <t>Festival Lubang Sewu</t>
  </si>
  <si>
    <t>15.21</t>
  </si>
  <si>
    <t>Fasilitasi Kebutuhan Sarana Prasarana Kelompok Seni</t>
  </si>
  <si>
    <t>Festival Desa Wisata</t>
  </si>
  <si>
    <t>Fasilitasi Forum Komunikasi Pokdarwis</t>
  </si>
  <si>
    <t>15.22</t>
  </si>
  <si>
    <t>Promosi Pariwisata</t>
  </si>
  <si>
    <t>16.21</t>
  </si>
  <si>
    <t>Pengeboran Sumber Mata Air Kalianget</t>
  </si>
  <si>
    <t>16.22</t>
  </si>
  <si>
    <t>Pengembangan Daya Tarik Wisata Gelanggang Renang Mangli</t>
  </si>
  <si>
    <t>16.23</t>
  </si>
  <si>
    <t>Fasilitasi Petugas Obyek Wisata</t>
  </si>
  <si>
    <t>Kegiatan Malam Pergantian Tahun</t>
  </si>
  <si>
    <t>16.24</t>
  </si>
  <si>
    <t>Fasilitasi Forum Diskusi Kepariwisataan Antar Kabupaten</t>
  </si>
  <si>
    <t>16.25</t>
  </si>
  <si>
    <t>Fasilitasi Ruang dan Pengadaan Alat Display Gedung Dekranasda</t>
  </si>
  <si>
    <t>16.26</t>
  </si>
  <si>
    <t>Penyusunan DED dan Amdal Pembangunan Rest Area Kejajar</t>
  </si>
  <si>
    <t>16.27</t>
  </si>
  <si>
    <t>16.28</t>
  </si>
  <si>
    <t>Penyusunan DED Taman Bimolukar</t>
  </si>
  <si>
    <t>Penyusunan DED Kawasan Wisata Kalianget ( 5 Paket)</t>
  </si>
  <si>
    <t>16.29</t>
  </si>
  <si>
    <t>Penyusunan DED Taman Syailendra (Lokasi Eks Dieng Djaya Depan Kawasan Telaga Warna )</t>
  </si>
  <si>
    <t>16.30</t>
  </si>
  <si>
    <t>Pembuatan Site Plan/ Grand Design Telaga Menjer</t>
  </si>
  <si>
    <t>16.31</t>
  </si>
  <si>
    <t>Rehabilitasi Gedung TIC Meendolo</t>
  </si>
  <si>
    <t>18.09</t>
  </si>
  <si>
    <t>18.10</t>
  </si>
  <si>
    <t>Pelaksanaan Penyelenggaraan Pekan Ekonomi Kreatif</t>
  </si>
  <si>
    <t>Pembinaan Pelaku Ekonomi Kreatif</t>
  </si>
  <si>
    <t>DOKUMEN PELAKSANAAN PERUBAHAN PENJABARAN ANGGARAN SATUAN PERANGKAT DAERAH KABUPATEN WONOSOBO TAHUN ANGGARAN 2017</t>
  </si>
  <si>
    <t>Fasilitasi Fam Trip</t>
  </si>
  <si>
    <t>Fasilitasi Pelestarian dan Pengembangan Budaya Daerah</t>
  </si>
  <si>
    <t>Anggaran setelah Perubahan</t>
  </si>
  <si>
    <t>RINGKASAN DOKUMEN PELAKSANAAN PERUBAHAN ANGGARAN</t>
  </si>
  <si>
    <t>PEMERINTAH KABUPATEN WONOSOBO</t>
  </si>
  <si>
    <t>Urusan Pilihan</t>
  </si>
  <si>
    <t>Urusan Pemerintahan</t>
  </si>
  <si>
    <t>Bidang Pemerintahan</t>
  </si>
  <si>
    <t>Pariwisata</t>
  </si>
  <si>
    <t>Unit Organisasi</t>
  </si>
  <si>
    <t>Sub Unit Organisasi</t>
  </si>
  <si>
    <t>3.02.01.01</t>
  </si>
  <si>
    <t>RINGKASAN DOKUMEN PELAKSANAAN PERUBAHAN ANGGARAN SATUAN KERJA PERANGKAT DAERAH</t>
  </si>
  <si>
    <t>SURPLUS/ (DEFISIT)</t>
  </si>
  <si>
    <t>Jumlah (Rp)</t>
  </si>
  <si>
    <t>Sebelum Perubahan</t>
  </si>
  <si>
    <t>Setelah Perubahan</t>
  </si>
  <si>
    <t>Bertambah/ (Berkurang)</t>
  </si>
  <si>
    <t>0.00</t>
  </si>
  <si>
    <t>RENCANA PELAKSANAAN PERUBAHAN ANGGARAN SATUAN KERJA PERANGKAT DAERAH PER TRIWULAN</t>
  </si>
  <si>
    <t>Paraf  Tim</t>
  </si>
  <si>
    <t>1………………………………….</t>
  </si>
  <si>
    <t>2……………………………………………………………………….</t>
  </si>
  <si>
    <t>1……………………………………………..</t>
  </si>
  <si>
    <t>2…………………………………………….</t>
  </si>
  <si>
    <t>NIP. 19680925 198803 1 003</t>
  </si>
  <si>
    <t>Kepala BPPKAD</t>
  </si>
  <si>
    <t>DPPA-SKPD</t>
  </si>
  <si>
    <t>Wonosobo,          Oktober 2017</t>
  </si>
  <si>
    <t>Drs. EKO SUTRISNO WIBOWO,M.M</t>
  </si>
  <si>
    <t>Januari s/d Desember 2018</t>
  </si>
  <si>
    <t>DINPARBUD</t>
  </si>
  <si>
    <t>Wonosobo,    Januari  2018</t>
  </si>
  <si>
    <t>Tahun Anggaran 2018</t>
  </si>
  <si>
    <t>Dinparbud</t>
  </si>
  <si>
    <t>07.</t>
  </si>
  <si>
    <t>3.02.3.02.01.01.07</t>
  </si>
  <si>
    <t>Tersediaanya Penyediaan Jasa Administrasi Keuangan</t>
  </si>
  <si>
    <t>Adanya Penyediaan Jasa Administrasi Keuangan</t>
  </si>
  <si>
    <t>Meningkatnya Penyediaan Jasa Administrasi Keuangan</t>
  </si>
  <si>
    <t>3.02.3.02.01.01.07.5</t>
  </si>
  <si>
    <t>3.02.3.02.01.01.07.5.2</t>
  </si>
  <si>
    <t>3.02.3.02.01.01.07.5.2.2</t>
  </si>
  <si>
    <t>3.02.3.02.01.01.07.5.2.1</t>
  </si>
  <si>
    <t>3.02.3.02.01.01.07.5.2.1.01</t>
  </si>
  <si>
    <t>3.02.3.02.01.01.07.5.2.1.01.03</t>
  </si>
  <si>
    <t>Honorarium PNS</t>
  </si>
  <si>
    <t>Honorarium Pengelola Uang dan Penata</t>
  </si>
  <si>
    <t>Usahaan Keuangan</t>
  </si>
  <si>
    <t>- Pengguna Anggaran</t>
  </si>
  <si>
    <t>- Pejabat Penatausahaan Keuangan</t>
  </si>
  <si>
    <t>- Bendahara Pengeluaran</t>
  </si>
  <si>
    <t>- Bendahara Penerimaan</t>
  </si>
  <si>
    <t>- Pembantu Bendahara Penerima</t>
  </si>
  <si>
    <t>- Petugas Akuntansi/ Verifikasi</t>
  </si>
  <si>
    <t>- Pembantu Bendahara Pengeluaran urusan gaji</t>
  </si>
  <si>
    <t>- Pemegang/ Pengurus Barang</t>
  </si>
  <si>
    <t>- Staf Administrasi</t>
  </si>
  <si>
    <t>org/bln</t>
  </si>
  <si>
    <t>3.02.3.02.01.01.07.5.2.2.11</t>
  </si>
  <si>
    <t>3.02.3.02.01.01.07.5.2.2.11.06</t>
  </si>
  <si>
    <t>Belanja Barang&amp; Jasa</t>
  </si>
  <si>
    <t>Belanja Makanan dan Minuman Lembur</t>
  </si>
  <si>
    <t>- buku ekspedisi isi 100 lbr</t>
  </si>
  <si>
    <t>- Amplop tanggung</t>
  </si>
  <si>
    <t>- Amplop Panjang</t>
  </si>
  <si>
    <t>- Tinta Printer Brother DCP T 300</t>
  </si>
  <si>
    <t>- Tinta Printer Epson L 360</t>
  </si>
  <si>
    <t>Set</t>
  </si>
  <si>
    <t xml:space="preserve">- Spidol WB </t>
  </si>
  <si>
    <t>- Staples kecil</t>
  </si>
  <si>
    <t>- Isi steples kecil</t>
  </si>
  <si>
    <t>- Staples besar</t>
  </si>
  <si>
    <t>buah</t>
  </si>
  <si>
    <t>- Pensil hitam 2 B</t>
  </si>
  <si>
    <t>- gunting besar</t>
  </si>
  <si>
    <t>roll</t>
  </si>
  <si>
    <t>-Clip 3/4</t>
  </si>
  <si>
    <t>-Clip 200</t>
  </si>
  <si>
    <t xml:space="preserve">- ballpoint pilot </t>
  </si>
  <si>
    <t>- ballpoint pentel Asli</t>
  </si>
  <si>
    <t>- Batu Battery Kecil</t>
  </si>
  <si>
    <t>- Isi steples besar</t>
  </si>
  <si>
    <t>org/hari</t>
  </si>
  <si>
    <t>3.02.3.02.01.01.17</t>
  </si>
  <si>
    <t>3.02.3.02.01.01.17.5.2.2</t>
  </si>
  <si>
    <t>3.02.3.02.01.01.17.5.2.2.11</t>
  </si>
  <si>
    <t>Belanja Makanan dan Minuman Rapat</t>
  </si>
  <si>
    <t>- Pembelian Snack dan Minum</t>
  </si>
  <si>
    <t xml:space="preserve">Belanja Makanan dan Minuman </t>
  </si>
  <si>
    <t>Belanja Makanan dan Minuman Tamu</t>
  </si>
  <si>
    <t>- Pembelian Makan dan Minum Rapat</t>
  </si>
  <si>
    <t>- Pembelian Makan dan Minum Tamu</t>
  </si>
  <si>
    <t>- Flash disk 16 GB</t>
  </si>
  <si>
    <t>- Lampu LED 5 Watt</t>
  </si>
  <si>
    <t>- Lampu LED 9 Watt</t>
  </si>
  <si>
    <t>- Lampu TL 18 Watt</t>
  </si>
  <si>
    <t>- Saklar Nym 2,5X2 Mm</t>
  </si>
  <si>
    <t xml:space="preserve">- Kabel </t>
  </si>
  <si>
    <t>- Isolasi besar</t>
  </si>
  <si>
    <t>- Pewangi Kamar Mandi</t>
  </si>
  <si>
    <t>1org X 8 kali X 2 hr</t>
  </si>
  <si>
    <t>1org X 16 kali</t>
  </si>
  <si>
    <t>3org X 10 kali</t>
  </si>
  <si>
    <t>Daerah ( di atas 25 km)</t>
  </si>
  <si>
    <t>- Eselon IV/ PNS gol III</t>
  </si>
  <si>
    <t>3 org X 4 kali</t>
  </si>
  <si>
    <t>2 org X 4 kali</t>
  </si>
  <si>
    <t>1 org X 5 kali</t>
  </si>
  <si>
    <t>1 org X 5kali</t>
  </si>
  <si>
    <t xml:space="preserve"> - Gol III  2 Org x 4 Jam x 17 Hari</t>
  </si>
  <si>
    <t>1 Org X 4 Jam X 14 Hari</t>
  </si>
  <si>
    <t>3.02.3.02.01.01.26.5.2.2.01</t>
  </si>
  <si>
    <t>3.02.3.02.01.01.26.5.2.2.01.11</t>
  </si>
  <si>
    <t>Belanja Bahan Habis Pakai</t>
  </si>
  <si>
    <t>Belanja Dekorasi Dokumentasi dan Publikasi ( Iklan,Spanduk,dan lain-lain)</t>
  </si>
  <si>
    <t>-Pembulatan</t>
  </si>
  <si>
    <t xml:space="preserve"> Kran air stenless</t>
  </si>
  <si>
    <t xml:space="preserve">  Kuwas 3"</t>
  </si>
  <si>
    <t xml:space="preserve">  3 org X  20 hr</t>
  </si>
  <si>
    <t xml:space="preserve">  3 org X 16 hr</t>
  </si>
  <si>
    <t>- Spanduk</t>
  </si>
  <si>
    <t>- Iklan di Koran</t>
  </si>
  <si>
    <t>kali</t>
  </si>
  <si>
    <t>Wonosobo,     Januari  2018</t>
  </si>
  <si>
    <t>1 Pengecatan Obwis Menjer</t>
  </si>
  <si>
    <t>2. Pengecatan Obwis Kalianget</t>
  </si>
  <si>
    <t>- Upah Tenaga Pengecatan untuk obwis Menjer</t>
  </si>
  <si>
    <t>- Upah Tenaga Pengecatan untuk obwis Kalianget</t>
  </si>
  <si>
    <t xml:space="preserve">PARAF TIM PENELITI DPA </t>
  </si>
  <si>
    <t>( BPPKAD )</t>
  </si>
  <si>
    <t>OJ</t>
  </si>
  <si>
    <t>Waktu Pelaksanaan Kegiatan</t>
  </si>
  <si>
    <t>6= 3X5</t>
  </si>
  <si>
    <t>5 Org X 5 Hari</t>
  </si>
  <si>
    <t>3.02.3.02.01.02.24</t>
  </si>
  <si>
    <t>- Belanja bahan bakar Minyak</t>
  </si>
  <si>
    <t>-Pelumas Oli</t>
  </si>
  <si>
    <t>Liter</t>
  </si>
  <si>
    <t>Rencana Penarikan Dana Per Triwulan</t>
  </si>
  <si>
    <t>-</t>
  </si>
  <si>
    <t>org/kl</t>
  </si>
  <si>
    <t>3 org X 3 kali</t>
  </si>
  <si>
    <t>3 org X 5 kali</t>
  </si>
  <si>
    <t>2 org X 3 kali</t>
  </si>
  <si>
    <t>PARAF TIM PENELITI DPA</t>
  </si>
  <si>
    <t>Rencana Penarikan Dana per Triwulan</t>
  </si>
  <si>
    <t>1org X 21 kali</t>
  </si>
  <si>
    <t>5 org X 7 kali</t>
  </si>
  <si>
    <t>( BPPKAD)</t>
  </si>
  <si>
    <t>(BPPKAD)</t>
  </si>
  <si>
    <t>DPA-SKPD  2.2.1</t>
  </si>
  <si>
    <t>6 = 3 X 5</t>
  </si>
  <si>
    <t>SATUAN  KERJA  PERANGKAT  DAERAH</t>
  </si>
  <si>
    <t>DPA-SKPD   2.2.1</t>
  </si>
  <si>
    <t>DPA-SKPD    2.2.1</t>
  </si>
  <si>
    <t>Urusan Pilihan Pariwisata</t>
  </si>
  <si>
    <t xml:space="preserve">TIM PENELITI DPA </t>
  </si>
  <si>
    <t>Wonosobo,      Januari   2018</t>
  </si>
  <si>
    <t>02.11</t>
  </si>
  <si>
    <t>Pengadaan Sarana Prasarana Kantor</t>
  </si>
  <si>
    <t>02.45</t>
  </si>
  <si>
    <t>Penataan Lingkungan Kantor</t>
  </si>
  <si>
    <t>Peningkatan Pemanfaatan teknologi informasi dalam pemasaran pariwisata</t>
  </si>
  <si>
    <t>Pelaksanaan promosi pariwisata musantara di dalam dan di luar negeri</t>
  </si>
  <si>
    <t>Pelatihan Pemandu Wisata Terpadu</t>
  </si>
  <si>
    <t>Pemasangan Iklan Pariwisata ( Pelanggan,produk, even )</t>
  </si>
  <si>
    <t>Fasilitasi Kegiatan Komunitas Duta Wisata</t>
  </si>
  <si>
    <t xml:space="preserve">Penyusunan Perda Usaha Pariwisata </t>
  </si>
  <si>
    <t xml:space="preserve"> 15.23</t>
  </si>
  <si>
    <t>Festival Produk Pariwisata</t>
  </si>
  <si>
    <t>Program Peningkatan Promosi dan Kerjasama Investasi</t>
  </si>
  <si>
    <t>Bazar Investasi Usaha Pariwisata</t>
  </si>
  <si>
    <t>2.16</t>
  </si>
  <si>
    <t>15.01</t>
  </si>
  <si>
    <t>Pelestarian dan Aktualisasi adat budaya daerah</t>
  </si>
  <si>
    <t>15.25</t>
  </si>
  <si>
    <t>Pelatihan Kelompok Budaya</t>
  </si>
  <si>
    <t>Program peningkatan dan pengembangan pengelolaan keuangan daerah</t>
  </si>
  <si>
    <t>Kajian Kerjasama Pemanfaatan Barang Milik Daerah</t>
  </si>
  <si>
    <t>16.08</t>
  </si>
  <si>
    <t>Rehab / Pemeliharaan dan Penataan Obyek Wisata</t>
  </si>
  <si>
    <t>Pengembangan Destinasi Wisata Minat Khusus</t>
  </si>
  <si>
    <t>Pengembangan Obyek Wisata Dieng Plateau Theater</t>
  </si>
  <si>
    <t>Revitalisasi Destinasi / Atraksi Obyek Wisata Kalianget ( Pajak Rokok )</t>
  </si>
  <si>
    <t>Pengembangan Taman Syailendra Kawasan Telaga Warna ( DAK )</t>
  </si>
  <si>
    <t>Operasional dan Pemeliharaan Obyek Wisata</t>
  </si>
  <si>
    <t>Program penataan penguasaan, pemilikan, penggunaan dan pemanfaatan tanah</t>
  </si>
  <si>
    <t>DAK</t>
  </si>
  <si>
    <t>Pengadaan Tanah untuk Obyek Wisata</t>
  </si>
  <si>
    <t>Program Pengelolaan Kekayaan Budaya</t>
  </si>
  <si>
    <t>Fasilitasi Penelitian Cagar Budaya</t>
  </si>
  <si>
    <t>Perlindungan,pengembangan dan pemanfaatan Upacara Tradisional</t>
  </si>
  <si>
    <t>Program Pengembangan Kemitraan</t>
  </si>
  <si>
    <t>Pembinaan POKDARWIS</t>
  </si>
  <si>
    <t>Program Pengelolaan Keragaman Budaya</t>
  </si>
  <si>
    <t>Pengembangan kesenian dan kebudayaan daerah</t>
  </si>
  <si>
    <t>Inventarisasi  Cagar Budaya dan Warisan Budaya Tak Benda</t>
  </si>
  <si>
    <t>Penyelenggaraan Fasilitasi Seni (Penyuluhan substansi dan teknikal, pemberian bantuan, bimbingan organisasi,kaderisasi,promosi, penerbitan dan dokumentasi</t>
  </si>
  <si>
    <t>Pengembangan Kesenian Daerah</t>
  </si>
  <si>
    <t>Pengembangan Kemitraan Penyediaan Prasarana ( Zona/ ruang kreatif ) sebagai ruang berkreasi, berekspresi dan berinteraksi bagi pelaku ekonomi kreatif</t>
  </si>
  <si>
    <t>Fasilitasi Akses Pasar Bagi Produk Kreatif melalui Pekan Kreatif dan Festival Kreativitas</t>
  </si>
  <si>
    <t>Kemitraan Peningkatan Kapasitas Sumber Daya Pariwisata dan Ekonomi Kreatif</t>
  </si>
  <si>
    <t>Program Pengembangan kerjasama pengelolaan kekayaan budaya</t>
  </si>
  <si>
    <t>Fasilitasi Kegiatan Tim Ahli Cagar Budaya</t>
  </si>
  <si>
    <t>Wonosobo,        Januari 2018</t>
  </si>
  <si>
    <t xml:space="preserve"> 19680925 198803 1 003</t>
  </si>
  <si>
    <t>DOKUMEN  PELAKSANAAN  ANGGARAN</t>
  </si>
  <si>
    <t>- Tempat sampah plastik besar</t>
  </si>
  <si>
    <t>- Ember Plastik isi 6 galon</t>
  </si>
  <si>
    <t>- Kreolin</t>
  </si>
  <si>
    <t>Belanja Dekorasi Dokumentasi dan Publikasi</t>
  </si>
  <si>
    <t>Belanja Pajak Bumi dan Bangunan 1 thn</t>
  </si>
  <si>
    <t>Belanja untuk pajak ABT 12 bln</t>
  </si>
  <si>
    <t>3.02.3.02.01.02.22.5.2.2.30.20</t>
  </si>
  <si>
    <t>3.02.3.02.01.00.00.4.1.4.14</t>
  </si>
  <si>
    <t>3.02.3.02.01.00.00.4.1.4.14.01</t>
  </si>
  <si>
    <t>Hasil Pemanfaatan Kekayaan Daerah</t>
  </si>
  <si>
    <t>DOKUMEN PELAKSANAAN PERUBAHAN PENJABARAN ANGGARAN SATUAN PERANGKAT DAERAH KABUPATEN WONOSOBO TAHUN ANGGARAN 2018</t>
  </si>
</sst>
</file>

<file path=xl/styles.xml><?xml version="1.0" encoding="utf-8"?>
<styleSheet xmlns="http://schemas.openxmlformats.org/spreadsheetml/2006/main">
  <numFmts count="5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_(&quot;Rp&quot;* #,##0.00_);_(&quot;Rp&quot;* \(#,##0.00\);_(&quot;Rp&quot;* &quot;-&quot;_);_(@_)"/>
    <numFmt numFmtId="168" formatCode="_(* #,##0_);_(* \(#,##0\);_(* &quot;-&quot;??_);_(@_)"/>
  </numFmts>
  <fonts count="4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 val="singleAccounting"/>
      <sz val="10"/>
      <name val="Arial"/>
      <family val="2"/>
    </font>
    <font>
      <b/>
      <sz val="12"/>
      <name val="Arial"/>
      <family val="2"/>
    </font>
    <font>
      <u val="singleAccounting"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sz val="12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982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6" xfId="0" applyBorder="1"/>
    <xf numFmtId="0" fontId="0" fillId="0" borderId="0" xfId="0" applyBorder="1" applyAlignment="1"/>
    <xf numFmtId="0" fontId="0" fillId="0" borderId="17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0" borderId="9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6" xfId="0" applyFont="1" applyBorder="1"/>
    <xf numFmtId="0" fontId="2" fillId="0" borderId="0" xfId="0" quotePrefix="1" applyFont="1" applyFill="1" applyBorder="1"/>
    <xf numFmtId="0" fontId="2" fillId="0" borderId="0" xfId="0" applyFont="1" applyFill="1" applyBorder="1"/>
    <xf numFmtId="0" fontId="2" fillId="0" borderId="0" xfId="0" quotePrefix="1" applyFont="1" applyBorder="1"/>
    <xf numFmtId="0" fontId="2" fillId="0" borderId="7" xfId="0" quotePrefix="1" applyFont="1" applyBorder="1"/>
    <xf numFmtId="0" fontId="2" fillId="0" borderId="7" xfId="0" applyFont="1" applyBorder="1"/>
    <xf numFmtId="0" fontId="2" fillId="0" borderId="9" xfId="0" quotePrefix="1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7" xfId="0" applyFont="1" applyBorder="1"/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24" xfId="0" applyFont="1" applyBorder="1"/>
    <xf numFmtId="0" fontId="2" fillId="0" borderId="23" xfId="0" applyFont="1" applyBorder="1"/>
    <xf numFmtId="0" fontId="2" fillId="0" borderId="13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0" fillId="0" borderId="17" xfId="0" applyBorder="1"/>
    <xf numFmtId="0" fontId="0" fillId="0" borderId="12" xfId="0" applyBorder="1"/>
    <xf numFmtId="0" fontId="0" fillId="0" borderId="9" xfId="0" applyBorder="1"/>
    <xf numFmtId="0" fontId="0" fillId="0" borderId="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15" xfId="0" quotePrefix="1" applyBorder="1" applyAlignment="1">
      <alignment horizontal="center"/>
    </xf>
    <xf numFmtId="0" fontId="0" fillId="0" borderId="30" xfId="0" quotePrefix="1" applyBorder="1"/>
    <xf numFmtId="0" fontId="0" fillId="0" borderId="19" xfId="0" applyBorder="1"/>
    <xf numFmtId="0" fontId="0" fillId="0" borderId="0" xfId="0" applyFill="1" applyBorder="1"/>
    <xf numFmtId="0" fontId="5" fillId="0" borderId="6" xfId="0" applyFont="1" applyBorder="1"/>
    <xf numFmtId="164" fontId="0" fillId="0" borderId="8" xfId="0" applyNumberFormat="1" applyBorder="1"/>
    <xf numFmtId="0" fontId="0" fillId="0" borderId="25" xfId="0" applyBorder="1"/>
    <xf numFmtId="0" fontId="0" fillId="0" borderId="26" xfId="0" applyBorder="1"/>
    <xf numFmtId="0" fontId="0" fillId="0" borderId="34" xfId="0" applyBorder="1"/>
    <xf numFmtId="0" fontId="0" fillId="0" borderId="4" xfId="0" applyBorder="1"/>
    <xf numFmtId="0" fontId="0" fillId="0" borderId="5" xfId="0" applyBorder="1"/>
    <xf numFmtId="0" fontId="0" fillId="0" borderId="15" xfId="0" applyBorder="1"/>
    <xf numFmtId="0" fontId="0" fillId="0" borderId="17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11" xfId="0" quotePrefix="1" applyBorder="1"/>
    <xf numFmtId="0" fontId="0" fillId="0" borderId="0" xfId="0" quotePrefix="1" applyBorder="1"/>
    <xf numFmtId="0" fontId="0" fillId="0" borderId="24" xfId="0" applyBorder="1"/>
    <xf numFmtId="0" fontId="0" fillId="0" borderId="23" xfId="0" applyBorder="1"/>
    <xf numFmtId="164" fontId="0" fillId="0" borderId="0" xfId="0" applyNumberFormat="1" applyBorder="1"/>
    <xf numFmtId="0" fontId="0" fillId="0" borderId="0" xfId="0" quotePrefix="1" applyFill="1" applyBorder="1"/>
    <xf numFmtId="0" fontId="0" fillId="0" borderId="7" xfId="0" quotePrefix="1" applyBorder="1"/>
    <xf numFmtId="0" fontId="0" fillId="0" borderId="9" xfId="0" quotePrefix="1" applyBorder="1"/>
    <xf numFmtId="164" fontId="0" fillId="0" borderId="9" xfId="0" applyNumberFormat="1" applyBorder="1"/>
    <xf numFmtId="0" fontId="0" fillId="0" borderId="2" xfId="0" applyBorder="1"/>
    <xf numFmtId="0" fontId="5" fillId="0" borderId="0" xfId="0" applyFont="1" applyBorder="1"/>
    <xf numFmtId="0" fontId="5" fillId="0" borderId="0" xfId="0" quotePrefix="1" applyFont="1" applyBorder="1"/>
    <xf numFmtId="0" fontId="0" fillId="0" borderId="10" xfId="0" applyBorder="1"/>
    <xf numFmtId="0" fontId="0" fillId="0" borderId="17" xfId="0" quotePrefix="1" applyBorder="1"/>
    <xf numFmtId="0" fontId="0" fillId="0" borderId="16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14" xfId="0" applyBorder="1"/>
    <xf numFmtId="0" fontId="0" fillId="0" borderId="9" xfId="0" applyBorder="1" applyAlignment="1">
      <alignment horizontal="right"/>
    </xf>
    <xf numFmtId="0" fontId="1" fillId="0" borderId="31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7" xfId="0" applyFont="1" applyBorder="1"/>
    <xf numFmtId="0" fontId="0" fillId="0" borderId="27" xfId="0" applyBorder="1"/>
    <xf numFmtId="0" fontId="0" fillId="0" borderId="0" xfId="0" applyBorder="1" applyAlignment="1">
      <alignment horizontal="right"/>
    </xf>
    <xf numFmtId="0" fontId="1" fillId="0" borderId="24" xfId="0" applyFont="1" applyBorder="1"/>
    <xf numFmtId="0" fontId="1" fillId="0" borderId="23" xfId="0" applyFont="1" applyBorder="1"/>
    <xf numFmtId="0" fontId="1" fillId="0" borderId="31" xfId="0" applyFont="1" applyBorder="1" applyAlignment="1">
      <alignment horizontal="center"/>
    </xf>
    <xf numFmtId="164" fontId="1" fillId="0" borderId="0" xfId="0" applyNumberFormat="1" applyFont="1" applyBorder="1"/>
    <xf numFmtId="0" fontId="5" fillId="0" borderId="9" xfId="0" quotePrefix="1" applyFont="1" applyBorder="1"/>
    <xf numFmtId="0" fontId="5" fillId="0" borderId="9" xfId="0" applyFont="1" applyBorder="1"/>
    <xf numFmtId="0" fontId="0" fillId="0" borderId="1" xfId="0" applyBorder="1"/>
    <xf numFmtId="0" fontId="5" fillId="0" borderId="8" xfId="0" applyFont="1" applyBorder="1"/>
    <xf numFmtId="0" fontId="5" fillId="0" borderId="0" xfId="0" applyFont="1" applyFill="1" applyBorder="1"/>
    <xf numFmtId="0" fontId="5" fillId="0" borderId="14" xfId="0" applyFont="1" applyBorder="1"/>
    <xf numFmtId="0" fontId="5" fillId="0" borderId="15" xfId="0" applyFont="1" applyBorder="1"/>
    <xf numFmtId="0" fontId="5" fillId="0" borderId="24" xfId="0" applyFont="1" applyBorder="1"/>
    <xf numFmtId="0" fontId="5" fillId="0" borderId="23" xfId="0" applyFont="1" applyBorder="1"/>
    <xf numFmtId="0" fontId="5" fillId="0" borderId="7" xfId="0" applyFont="1" applyBorder="1"/>
    <xf numFmtId="0" fontId="5" fillId="0" borderId="0" xfId="0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/>
    <xf numFmtId="0" fontId="5" fillId="0" borderId="17" xfId="0" applyFont="1" applyBorder="1"/>
    <xf numFmtId="0" fontId="5" fillId="0" borderId="12" xfId="0" applyFont="1" applyBorder="1"/>
    <xf numFmtId="0" fontId="5" fillId="0" borderId="31" xfId="0" applyFont="1" applyBorder="1" applyAlignment="1">
      <alignment horizontal="center"/>
    </xf>
    <xf numFmtId="164" fontId="5" fillId="0" borderId="0" xfId="0" applyNumberFormat="1" applyFont="1" applyBorder="1"/>
    <xf numFmtId="164" fontId="5" fillId="0" borderId="9" xfId="0" applyNumberFormat="1" applyFont="1" applyBorder="1"/>
    <xf numFmtId="164" fontId="5" fillId="0" borderId="8" xfId="0" applyNumberFormat="1" applyFont="1" applyBorder="1"/>
    <xf numFmtId="0" fontId="5" fillId="0" borderId="17" xfId="0" quotePrefix="1" applyFont="1" applyBorder="1"/>
    <xf numFmtId="164" fontId="5" fillId="0" borderId="11" xfId="0" applyNumberFormat="1" applyFont="1" applyBorder="1"/>
    <xf numFmtId="0" fontId="5" fillId="0" borderId="25" xfId="0" applyFont="1" applyBorder="1"/>
    <xf numFmtId="0" fontId="5" fillId="0" borderId="26" xfId="0" applyFont="1" applyBorder="1"/>
    <xf numFmtId="0" fontId="2" fillId="0" borderId="15" xfId="0" applyFont="1" applyBorder="1"/>
    <xf numFmtId="0" fontId="0" fillId="0" borderId="28" xfId="0" quotePrefix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66" fontId="0" fillId="0" borderId="9" xfId="0" applyNumberFormat="1" applyBorder="1"/>
    <xf numFmtId="166" fontId="0" fillId="0" borderId="0" xfId="0" applyNumberFormat="1" applyBorder="1"/>
    <xf numFmtId="166" fontId="0" fillId="0" borderId="8" xfId="0" applyNumberFormat="1" applyBorder="1"/>
    <xf numFmtId="0" fontId="0" fillId="0" borderId="3" xfId="0" applyBorder="1"/>
    <xf numFmtId="164" fontId="0" fillId="0" borderId="2" xfId="0" applyNumberFormat="1" applyBorder="1"/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right"/>
    </xf>
    <xf numFmtId="0" fontId="11" fillId="0" borderId="0" xfId="0" applyFont="1" applyBorder="1" applyAlignment="1">
      <alignment horizontal="right"/>
    </xf>
    <xf numFmtId="0" fontId="0" fillId="0" borderId="6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quotePrefix="1" applyFont="1" applyFill="1" applyBorder="1" applyAlignment="1">
      <alignment vertical="center"/>
    </xf>
    <xf numFmtId="0" fontId="0" fillId="0" borderId="7" xfId="0" quotePrefix="1" applyBorder="1" applyAlignment="1">
      <alignment vertical="center"/>
    </xf>
    <xf numFmtId="0" fontId="0" fillId="0" borderId="36" xfId="0" applyBorder="1"/>
    <xf numFmtId="0" fontId="0" fillId="0" borderId="37" xfId="0" applyBorder="1"/>
    <xf numFmtId="0" fontId="0" fillId="0" borderId="34" xfId="0" applyBorder="1" applyAlignment="1">
      <alignment horizontal="center"/>
    </xf>
    <xf numFmtId="165" fontId="0" fillId="0" borderId="0" xfId="0" applyNumberFormat="1" applyBorder="1"/>
    <xf numFmtId="0" fontId="1" fillId="0" borderId="6" xfId="0" applyFont="1" applyBorder="1"/>
    <xf numFmtId="0" fontId="1" fillId="0" borderId="0" xfId="0" quotePrefix="1" applyFont="1" applyBorder="1"/>
    <xf numFmtId="0" fontId="0" fillId="0" borderId="2" xfId="0" quotePrefix="1" applyBorder="1"/>
    <xf numFmtId="0" fontId="0" fillId="0" borderId="2" xfId="0" quotePrefix="1" applyFill="1" applyBorder="1"/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4" fillId="0" borderId="6" xfId="0" applyFont="1" applyBorder="1"/>
    <xf numFmtId="0" fontId="14" fillId="0" borderId="0" xfId="0" applyFont="1" applyBorder="1"/>
    <xf numFmtId="0" fontId="14" fillId="0" borderId="8" xfId="0" applyFont="1" applyBorder="1"/>
    <xf numFmtId="0" fontId="14" fillId="0" borderId="0" xfId="0" applyFont="1" applyFill="1" applyBorder="1"/>
    <xf numFmtId="0" fontId="14" fillId="0" borderId="11" xfId="0" applyFont="1" applyBorder="1"/>
    <xf numFmtId="0" fontId="14" fillId="0" borderId="9" xfId="0" applyFont="1" applyBorder="1"/>
    <xf numFmtId="0" fontId="14" fillId="0" borderId="7" xfId="0" applyFont="1" applyBorder="1"/>
    <xf numFmtId="0" fontId="11" fillId="0" borderId="6" xfId="0" applyFont="1" applyBorder="1"/>
    <xf numFmtId="0" fontId="14" fillId="0" borderId="25" xfId="0" applyFont="1" applyBorder="1"/>
    <xf numFmtId="0" fontId="14" fillId="0" borderId="26" xfId="0" applyFont="1" applyBorder="1"/>
    <xf numFmtId="0" fontId="14" fillId="0" borderId="34" xfId="0" applyFont="1" applyBorder="1"/>
    <xf numFmtId="0" fontId="14" fillId="0" borderId="17" xfId="0" applyFont="1" applyBorder="1"/>
    <xf numFmtId="0" fontId="14" fillId="0" borderId="12" xfId="0" applyFont="1" applyBorder="1"/>
    <xf numFmtId="0" fontId="14" fillId="0" borderId="28" xfId="0" applyFont="1" applyBorder="1" applyAlignment="1">
      <alignment horizontal="center"/>
    </xf>
    <xf numFmtId="0" fontId="14" fillId="0" borderId="28" xfId="0" applyFont="1" applyBorder="1"/>
    <xf numFmtId="0" fontId="14" fillId="0" borderId="29" xfId="0" applyFont="1" applyBorder="1"/>
    <xf numFmtId="0" fontId="14" fillId="0" borderId="29" xfId="0" applyFont="1" applyBorder="1" applyAlignment="1">
      <alignment horizontal="center"/>
    </xf>
    <xf numFmtId="0" fontId="14" fillId="0" borderId="30" xfId="0" applyFont="1" applyBorder="1"/>
    <xf numFmtId="0" fontId="14" fillId="0" borderId="31" xfId="0" applyFont="1" applyBorder="1" applyAlignment="1">
      <alignment horizontal="center"/>
    </xf>
    <xf numFmtId="0" fontId="11" fillId="0" borderId="31" xfId="0" quotePrefix="1" applyFont="1" applyBorder="1" applyAlignment="1">
      <alignment vertical="top"/>
    </xf>
    <xf numFmtId="0" fontId="14" fillId="0" borderId="31" xfId="0" quotePrefix="1" applyFont="1" applyBorder="1"/>
    <xf numFmtId="0" fontId="14" fillId="0" borderId="31" xfId="0" applyFont="1" applyBorder="1"/>
    <xf numFmtId="9" fontId="14" fillId="0" borderId="31" xfId="0" applyNumberFormat="1" applyFont="1" applyBorder="1" applyAlignment="1">
      <alignment horizontal="center"/>
    </xf>
    <xf numFmtId="0" fontId="14" fillId="0" borderId="31" xfId="0" quotePrefix="1" applyFont="1" applyBorder="1" applyAlignment="1">
      <alignment vertical="top"/>
    </xf>
    <xf numFmtId="9" fontId="14" fillId="0" borderId="31" xfId="0" applyNumberFormat="1" applyFont="1" applyBorder="1" applyAlignment="1">
      <alignment horizontal="center" vertical="top"/>
    </xf>
    <xf numFmtId="0" fontId="14" fillId="0" borderId="31" xfId="0" applyFont="1" applyBorder="1" applyAlignment="1">
      <alignment horizontal="center" vertical="top"/>
    </xf>
    <xf numFmtId="164" fontId="13" fillId="0" borderId="31" xfId="0" applyNumberFormat="1" applyFont="1" applyBorder="1" applyAlignment="1">
      <alignment horizontal="center"/>
    </xf>
    <xf numFmtId="164" fontId="14" fillId="0" borderId="31" xfId="0" applyNumberFormat="1" applyFont="1" applyBorder="1" applyAlignment="1">
      <alignment horizontal="center"/>
    </xf>
    <xf numFmtId="164" fontId="14" fillId="0" borderId="31" xfId="0" applyNumberFormat="1" applyFont="1" applyBorder="1" applyAlignment="1">
      <alignment horizontal="center" vertical="top"/>
    </xf>
    <xf numFmtId="0" fontId="11" fillId="0" borderId="31" xfId="0" quotePrefix="1" applyFont="1" applyBorder="1"/>
    <xf numFmtId="0" fontId="14" fillId="0" borderId="32" xfId="0" applyFont="1" applyBorder="1"/>
    <xf numFmtId="164" fontId="14" fillId="0" borderId="33" xfId="0" applyNumberFormat="1" applyFont="1" applyBorder="1"/>
    <xf numFmtId="0" fontId="14" fillId="0" borderId="18" xfId="0" applyFont="1" applyBorder="1"/>
    <xf numFmtId="0" fontId="14" fillId="0" borderId="19" xfId="0" applyFont="1" applyBorder="1"/>
    <xf numFmtId="164" fontId="13" fillId="0" borderId="21" xfId="0" applyNumberFormat="1" applyFont="1" applyBorder="1" applyAlignment="1"/>
    <xf numFmtId="164" fontId="13" fillId="0" borderId="31" xfId="0" applyNumberFormat="1" applyFont="1" applyBorder="1" applyAlignment="1"/>
    <xf numFmtId="164" fontId="14" fillId="0" borderId="8" xfId="0" applyNumberFormat="1" applyFont="1" applyBorder="1"/>
    <xf numFmtId="164" fontId="14" fillId="0" borderId="27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Border="1"/>
    <xf numFmtId="0" fontId="12" fillId="0" borderId="9" xfId="0" applyFont="1" applyBorder="1"/>
    <xf numFmtId="0" fontId="12" fillId="0" borderId="0" xfId="0" applyFont="1" applyBorder="1"/>
    <xf numFmtId="0" fontId="12" fillId="0" borderId="7" xfId="0" applyFont="1" applyBorder="1"/>
    <xf numFmtId="0" fontId="12" fillId="0" borderId="0" xfId="0" applyFont="1" applyBorder="1" applyAlignment="1"/>
    <xf numFmtId="0" fontId="12" fillId="0" borderId="0" xfId="0" applyFont="1" applyFill="1" applyBorder="1"/>
    <xf numFmtId="0" fontId="12" fillId="0" borderId="24" xfId="0" applyFont="1" applyBorder="1"/>
    <xf numFmtId="0" fontId="12" fillId="0" borderId="15" xfId="0" applyFont="1" applyBorder="1"/>
    <xf numFmtId="0" fontId="12" fillId="0" borderId="23" xfId="0" applyFont="1" applyBorder="1"/>
    <xf numFmtId="0" fontId="12" fillId="0" borderId="0" xfId="0" applyFont="1" applyBorder="1" applyAlignment="1">
      <alignment horizontal="right"/>
    </xf>
    <xf numFmtId="0" fontId="12" fillId="0" borderId="17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31" xfId="0" applyFont="1" applyBorder="1" applyAlignment="1">
      <alignment horizontal="center"/>
    </xf>
    <xf numFmtId="0" fontId="12" fillId="0" borderId="9" xfId="0" quotePrefix="1" applyFont="1" applyBorder="1"/>
    <xf numFmtId="0" fontId="12" fillId="0" borderId="19" xfId="0" applyFont="1" applyBorder="1"/>
    <xf numFmtId="0" fontId="3" fillId="0" borderId="9" xfId="0" applyFont="1" applyBorder="1"/>
    <xf numFmtId="0" fontId="3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4" fillId="0" borderId="13" xfId="0" applyFont="1" applyBorder="1"/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/>
    <xf numFmtId="0" fontId="14" fillId="0" borderId="45" xfId="0" applyFont="1" applyBorder="1"/>
    <xf numFmtId="0" fontId="14" fillId="0" borderId="3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32" xfId="0" quotePrefix="1" applyFont="1" applyBorder="1"/>
    <xf numFmtId="164" fontId="13" fillId="0" borderId="33" xfId="0" applyNumberFormat="1" applyFont="1" applyBorder="1"/>
    <xf numFmtId="164" fontId="14" fillId="0" borderId="33" xfId="0" applyNumberFormat="1" applyFont="1" applyBorder="1" applyAlignment="1">
      <alignment vertical="top"/>
    </xf>
    <xf numFmtId="0" fontId="14" fillId="0" borderId="44" xfId="0" quotePrefix="1" applyFont="1" applyBorder="1"/>
    <xf numFmtId="0" fontId="18" fillId="0" borderId="11" xfId="0" applyFont="1" applyBorder="1"/>
    <xf numFmtId="0" fontId="18" fillId="0" borderId="0" xfId="0" applyFont="1" applyBorder="1"/>
    <xf numFmtId="0" fontId="18" fillId="0" borderId="15" xfId="0" applyFont="1" applyBorder="1"/>
    <xf numFmtId="0" fontId="17" fillId="0" borderId="9" xfId="0" applyFont="1" applyBorder="1"/>
    <xf numFmtId="0" fontId="12" fillId="0" borderId="6" xfId="0" applyFont="1" applyBorder="1"/>
    <xf numFmtId="0" fontId="12" fillId="0" borderId="8" xfId="0" applyFont="1" applyBorder="1"/>
    <xf numFmtId="0" fontId="12" fillId="0" borderId="14" xfId="0" applyFont="1" applyBorder="1"/>
    <xf numFmtId="0" fontId="12" fillId="0" borderId="10" xfId="0" applyFont="1" applyBorder="1"/>
    <xf numFmtId="0" fontId="12" fillId="0" borderId="16" xfId="0" applyFont="1" applyBorder="1"/>
    <xf numFmtId="0" fontId="12" fillId="0" borderId="25" xfId="0" applyFont="1" applyBorder="1"/>
    <xf numFmtId="0" fontId="12" fillId="0" borderId="26" xfId="0" applyFont="1" applyBorder="1"/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164" fontId="1" fillId="0" borderId="9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17" fillId="0" borderId="0" xfId="0" applyFont="1"/>
    <xf numFmtId="164" fontId="17" fillId="0" borderId="0" xfId="0" applyNumberFormat="1" applyFont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164" fontId="17" fillId="0" borderId="9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quotePrefix="1" applyFont="1" applyBorder="1"/>
    <xf numFmtId="164" fontId="0" fillId="0" borderId="3" xfId="0" applyNumberForma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164" fontId="16" fillId="0" borderId="3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2" fillId="0" borderId="34" xfId="0" applyFont="1" applyBorder="1"/>
    <xf numFmtId="0" fontId="12" fillId="0" borderId="27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15" xfId="0" applyBorder="1" applyAlignment="1"/>
    <xf numFmtId="0" fontId="0" fillId="0" borderId="0" xfId="0" applyFill="1" applyBorder="1" applyAlignment="1"/>
    <xf numFmtId="166" fontId="0" fillId="0" borderId="0" xfId="0" applyNumberFormat="1"/>
    <xf numFmtId="0" fontId="0" fillId="0" borderId="8" xfId="0" applyFill="1" applyBorder="1" applyAlignment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7" xfId="0" applyFont="1" applyBorder="1"/>
    <xf numFmtId="0" fontId="0" fillId="0" borderId="9" xfId="0" applyBorder="1" applyAlignment="1">
      <alignment horizontal="center"/>
    </xf>
    <xf numFmtId="0" fontId="14" fillId="0" borderId="30" xfId="0" quotePrefix="1" applyFont="1" applyBorder="1" applyAlignment="1">
      <alignment vertical="top"/>
    </xf>
    <xf numFmtId="164" fontId="14" fillId="0" borderId="30" xfId="0" applyNumberFormat="1" applyFont="1" applyBorder="1" applyAlignment="1">
      <alignment horizontal="center" vertical="top"/>
    </xf>
    <xf numFmtId="164" fontId="14" fillId="0" borderId="45" xfId="0" applyNumberFormat="1" applyFont="1" applyBorder="1" applyAlignment="1">
      <alignment vertical="top"/>
    </xf>
    <xf numFmtId="0" fontId="1" fillId="0" borderId="15" xfId="0" applyFont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6" fillId="0" borderId="31" xfId="0" applyFont="1" applyBorder="1"/>
    <xf numFmtId="9" fontId="16" fillId="0" borderId="31" xfId="0" applyNumberFormat="1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164" fontId="16" fillId="0" borderId="30" xfId="0" applyNumberFormat="1" applyFont="1" applyBorder="1" applyAlignment="1">
      <alignment horizontal="center" vertical="top"/>
    </xf>
    <xf numFmtId="164" fontId="16" fillId="0" borderId="45" xfId="0" applyNumberFormat="1" applyFont="1" applyBorder="1" applyAlignment="1">
      <alignment vertical="top"/>
    </xf>
    <xf numFmtId="164" fontId="14" fillId="0" borderId="29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4" fontId="0" fillId="0" borderId="0" xfId="2" applyFont="1"/>
    <xf numFmtId="0" fontId="0" fillId="0" borderId="0" xfId="0" applyAlignment="1">
      <alignment horizontal="left" wrapText="1"/>
    </xf>
    <xf numFmtId="164" fontId="21" fillId="0" borderId="33" xfId="0" applyNumberFormat="1" applyFont="1" applyBorder="1"/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17" fillId="0" borderId="0" xfId="2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7" fillId="0" borderId="0" xfId="2" applyFont="1"/>
    <xf numFmtId="0" fontId="2" fillId="0" borderId="7" xfId="0" applyFont="1" applyBorder="1" applyAlignment="1">
      <alignment horizontal="center"/>
    </xf>
    <xf numFmtId="0" fontId="17" fillId="0" borderId="0" xfId="0" applyFont="1" applyAlignment="1">
      <alignment horizontal="left" wrapText="1"/>
    </xf>
    <xf numFmtId="164" fontId="23" fillId="0" borderId="0" xfId="2" applyFont="1"/>
    <xf numFmtId="0" fontId="23" fillId="0" borderId="0" xfId="0" applyFont="1"/>
    <xf numFmtId="0" fontId="0" fillId="0" borderId="0" xfId="0" applyFont="1"/>
    <xf numFmtId="164" fontId="0" fillId="0" borderId="0" xfId="2" applyFont="1" applyAlignment="1">
      <alignment horizontal="left" wrapText="1"/>
    </xf>
    <xf numFmtId="164" fontId="0" fillId="0" borderId="0" xfId="0" applyNumberFormat="1" applyAlignment="1">
      <alignment horizontal="left" wrapText="1"/>
    </xf>
    <xf numFmtId="164" fontId="17" fillId="0" borderId="0" xfId="0" applyNumberFormat="1" applyFont="1" applyAlignment="1">
      <alignment horizontal="left" wrapText="1"/>
    </xf>
    <xf numFmtId="164" fontId="24" fillId="0" borderId="0" xfId="2" applyFont="1"/>
    <xf numFmtId="0" fontId="0" fillId="2" borderId="0" xfId="0" applyFill="1"/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6" fillId="0" borderId="0" xfId="0" applyFont="1"/>
    <xf numFmtId="164" fontId="26" fillId="0" borderId="0" xfId="2" applyFont="1"/>
    <xf numFmtId="0" fontId="27" fillId="0" borderId="0" xfId="0" applyFont="1"/>
    <xf numFmtId="0" fontId="27" fillId="0" borderId="0" xfId="0" applyFont="1" applyAlignment="1">
      <alignment horizontal="left" wrapText="1"/>
    </xf>
    <xf numFmtId="164" fontId="27" fillId="0" borderId="0" xfId="2" applyFont="1"/>
    <xf numFmtId="164" fontId="27" fillId="0" borderId="0" xfId="0" applyNumberFormat="1" applyFont="1" applyAlignment="1">
      <alignment horizontal="left" wrapText="1"/>
    </xf>
    <xf numFmtId="0" fontId="14" fillId="0" borderId="44" xfId="0" quotePrefix="1" applyFont="1" applyBorder="1" applyAlignment="1">
      <alignment horizontal="left"/>
    </xf>
    <xf numFmtId="0" fontId="14" fillId="0" borderId="0" xfId="0" quotePrefix="1" applyFont="1" applyBorder="1" applyAlignment="1">
      <alignment vertical="top"/>
    </xf>
    <xf numFmtId="0" fontId="11" fillId="0" borderId="0" xfId="0" applyFont="1" applyFill="1" applyBorder="1" applyAlignment="1">
      <alignment horizontal="left" vertical="center" wrapText="1"/>
    </xf>
    <xf numFmtId="9" fontId="14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164" fontId="14" fillId="0" borderId="0" xfId="0" applyNumberFormat="1" applyFont="1" applyBorder="1" applyAlignment="1">
      <alignment horizontal="center" vertical="top"/>
    </xf>
    <xf numFmtId="164" fontId="14" fillId="0" borderId="0" xfId="0" applyNumberFormat="1" applyFont="1" applyBorder="1" applyAlignment="1">
      <alignment vertical="top"/>
    </xf>
    <xf numFmtId="0" fontId="14" fillId="0" borderId="46" xfId="0" quotePrefix="1" applyFont="1" applyBorder="1"/>
    <xf numFmtId="0" fontId="14" fillId="0" borderId="47" xfId="0" quotePrefix="1" applyFont="1" applyBorder="1"/>
    <xf numFmtId="0" fontId="14" fillId="0" borderId="47" xfId="0" applyFont="1" applyBorder="1"/>
    <xf numFmtId="9" fontId="14" fillId="0" borderId="47" xfId="0" applyNumberFormat="1" applyFont="1" applyBorder="1" applyAlignment="1">
      <alignment horizontal="center" vertical="top"/>
    </xf>
    <xf numFmtId="0" fontId="14" fillId="0" borderId="47" xfId="0" applyFont="1" applyBorder="1" applyAlignment="1">
      <alignment horizontal="center" vertical="top"/>
    </xf>
    <xf numFmtId="164" fontId="13" fillId="0" borderId="47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20" xfId="0" applyFont="1" applyFill="1" applyBorder="1" applyAlignment="1">
      <alignment horizontal="left" vertical="center" wrapText="1"/>
    </xf>
    <xf numFmtId="164" fontId="13" fillId="0" borderId="0" xfId="0" applyNumberFormat="1" applyFont="1" applyBorder="1"/>
    <xf numFmtId="164" fontId="14" fillId="0" borderId="0" xfId="0" applyNumberFormat="1" applyFont="1" applyBorder="1"/>
    <xf numFmtId="164" fontId="16" fillId="0" borderId="0" xfId="0" applyNumberFormat="1" applyFont="1" applyBorder="1" applyAlignment="1">
      <alignment horizontal="center" vertical="top"/>
    </xf>
    <xf numFmtId="164" fontId="16" fillId="0" borderId="0" xfId="0" applyNumberFormat="1" applyFont="1" applyBorder="1" applyAlignment="1">
      <alignment vertical="top"/>
    </xf>
    <xf numFmtId="164" fontId="13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21" fillId="0" borderId="0" xfId="0" applyNumberFormat="1" applyFont="1" applyBorder="1"/>
    <xf numFmtId="164" fontId="13" fillId="0" borderId="0" xfId="0" applyNumberFormat="1" applyFont="1" applyBorder="1" applyAlignment="1"/>
    <xf numFmtId="164" fontId="13" fillId="0" borderId="21" xfId="0" applyNumberFormat="1" applyFont="1" applyBorder="1" applyAlignment="1">
      <alignment horizontal="center"/>
    </xf>
    <xf numFmtId="164" fontId="14" fillId="0" borderId="21" xfId="0" applyNumberFormat="1" applyFont="1" applyBorder="1" applyAlignment="1">
      <alignment horizontal="center"/>
    </xf>
    <xf numFmtId="0" fontId="14" fillId="0" borderId="21" xfId="0" applyFont="1" applyBorder="1"/>
    <xf numFmtId="164" fontId="11" fillId="0" borderId="21" xfId="0" applyNumberFormat="1" applyFont="1" applyBorder="1" applyAlignment="1">
      <alignment horizontal="center"/>
    </xf>
    <xf numFmtId="164" fontId="13" fillId="0" borderId="21" xfId="0" applyNumberFormat="1" applyFont="1" applyBorder="1" applyAlignment="1">
      <alignment horizontal="center" vertical="top"/>
    </xf>
    <xf numFmtId="164" fontId="11" fillId="0" borderId="21" xfId="0" applyNumberFormat="1" applyFont="1" applyBorder="1" applyAlignment="1">
      <alignment horizontal="center" vertical="top"/>
    </xf>
    <xf numFmtId="164" fontId="11" fillId="0" borderId="30" xfId="0" applyNumberFormat="1" applyFont="1" applyBorder="1" applyAlignment="1">
      <alignment horizontal="center" vertical="top"/>
    </xf>
    <xf numFmtId="164" fontId="11" fillId="0" borderId="31" xfId="0" applyNumberFormat="1" applyFont="1" applyBorder="1" applyAlignment="1">
      <alignment horizontal="center" vertical="top"/>
    </xf>
    <xf numFmtId="0" fontId="14" fillId="0" borderId="30" xfId="0" quotePrefix="1" applyFont="1" applyBorder="1"/>
    <xf numFmtId="9" fontId="14" fillId="0" borderId="30" xfId="0" applyNumberFormat="1" applyFont="1" applyBorder="1" applyAlignment="1">
      <alignment horizontal="center" vertical="top"/>
    </xf>
    <xf numFmtId="0" fontId="14" fillId="0" borderId="30" xfId="0" applyFont="1" applyBorder="1" applyAlignment="1">
      <alignment horizontal="center" vertical="top"/>
    </xf>
    <xf numFmtId="164" fontId="13" fillId="0" borderId="30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 vertical="top"/>
    </xf>
    <xf numFmtId="164" fontId="11" fillId="0" borderId="17" xfId="0" applyNumberFormat="1" applyFont="1" applyBorder="1" applyAlignment="1">
      <alignment horizontal="center" vertical="top"/>
    </xf>
    <xf numFmtId="0" fontId="14" fillId="0" borderId="45" xfId="0" applyFont="1" applyBorder="1" applyAlignment="1">
      <alignment horizontal="center" vertical="center"/>
    </xf>
    <xf numFmtId="0" fontId="14" fillId="0" borderId="30" xfId="0" quotePrefix="1" applyFont="1" applyBorder="1" applyAlignment="1">
      <alignment horizontal="left" vertical="top"/>
    </xf>
    <xf numFmtId="164" fontId="13" fillId="0" borderId="45" xfId="0" applyNumberFormat="1" applyFont="1" applyBorder="1" applyAlignment="1">
      <alignment horizontal="center"/>
    </xf>
    <xf numFmtId="164" fontId="14" fillId="0" borderId="11" xfId="0" applyNumberFormat="1" applyFont="1" applyBorder="1" applyAlignment="1">
      <alignment horizontal="left"/>
    </xf>
    <xf numFmtId="164" fontId="14" fillId="0" borderId="12" xfId="0" applyNumberFormat="1" applyFont="1" applyBorder="1" applyAlignment="1">
      <alignment horizontal="left"/>
    </xf>
    <xf numFmtId="0" fontId="11" fillId="0" borderId="31" xfId="0" applyFont="1" applyFill="1" applyBorder="1" applyAlignment="1">
      <alignment horizontal="center" vertical="center" wrapText="1"/>
    </xf>
    <xf numFmtId="164" fontId="14" fillId="0" borderId="31" xfId="0" applyNumberFormat="1" applyFont="1" applyBorder="1" applyAlignment="1">
      <alignment horizontal="left"/>
    </xf>
    <xf numFmtId="0" fontId="11" fillId="0" borderId="31" xfId="0" applyFont="1" applyFill="1" applyBorder="1" applyAlignment="1">
      <alignment horizontal="center" vertical="center"/>
    </xf>
    <xf numFmtId="9" fontId="11" fillId="0" borderId="31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/>
    </xf>
    <xf numFmtId="164" fontId="28" fillId="0" borderId="17" xfId="0" applyNumberFormat="1" applyFont="1" applyBorder="1" applyAlignment="1">
      <alignment horizontal="center" vertical="top"/>
    </xf>
    <xf numFmtId="166" fontId="2" fillId="0" borderId="9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12" xfId="0" applyFont="1" applyFill="1" applyBorder="1" applyAlignment="1">
      <alignment horizontal="left" vertical="top" wrapText="1"/>
    </xf>
    <xf numFmtId="164" fontId="14" fillId="0" borderId="31" xfId="0" applyNumberFormat="1" applyFont="1" applyBorder="1" applyAlignment="1">
      <alignment vertical="top"/>
    </xf>
    <xf numFmtId="164" fontId="21" fillId="0" borderId="31" xfId="0" applyNumberFormat="1" applyFont="1" applyBorder="1" applyAlignment="1">
      <alignment horizontal="center"/>
    </xf>
    <xf numFmtId="164" fontId="14" fillId="0" borderId="21" xfId="0" applyNumberFormat="1" applyFont="1" applyBorder="1" applyAlignment="1">
      <alignment horizontal="center" vertical="top"/>
    </xf>
    <xf numFmtId="164" fontId="14" fillId="0" borderId="0" xfId="0" applyNumberFormat="1" applyFont="1" applyBorder="1" applyAlignment="1">
      <alignment horizontal="center"/>
    </xf>
    <xf numFmtId="164" fontId="14" fillId="0" borderId="31" xfId="0" applyNumberFormat="1" applyFont="1" applyBorder="1" applyAlignment="1">
      <alignment horizontal="left" vertical="top"/>
    </xf>
    <xf numFmtId="164" fontId="16" fillId="0" borderId="31" xfId="0" applyNumberFormat="1" applyFont="1" applyBorder="1" applyAlignment="1">
      <alignment horizontal="left" vertical="top"/>
    </xf>
    <xf numFmtId="164" fontId="13" fillId="0" borderId="30" xfId="0" applyNumberFormat="1" applyFont="1" applyBorder="1" applyAlignment="1">
      <alignment horizontal="center" vertical="top"/>
    </xf>
    <xf numFmtId="164" fontId="16" fillId="0" borderId="31" xfId="0" applyNumberFormat="1" applyFont="1" applyBorder="1" applyAlignment="1">
      <alignment horizontal="center" vertical="top"/>
    </xf>
    <xf numFmtId="164" fontId="29" fillId="0" borderId="17" xfId="0" applyNumberFormat="1" applyFont="1" applyBorder="1" applyAlignment="1">
      <alignment horizontal="center" vertical="top"/>
    </xf>
    <xf numFmtId="164" fontId="14" fillId="0" borderId="0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6" fontId="2" fillId="0" borderId="9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31" xfId="0" quotePrefix="1" applyFont="1" applyBorder="1" applyAlignment="1">
      <alignment horizontal="left" vertical="top"/>
    </xf>
    <xf numFmtId="0" fontId="14" fillId="0" borderId="24" xfId="0" applyFont="1" applyBorder="1" applyAlignment="1"/>
    <xf numFmtId="0" fontId="14" fillId="0" borderId="15" xfId="0" applyFont="1" applyBorder="1" applyAlignment="1"/>
    <xf numFmtId="0" fontId="14" fillId="0" borderId="16" xfId="0" applyFont="1" applyBorder="1" applyAlignment="1"/>
    <xf numFmtId="165" fontId="0" fillId="0" borderId="0" xfId="1" applyFont="1"/>
    <xf numFmtId="164" fontId="14" fillId="0" borderId="15" xfId="0" applyNumberFormat="1" applyFont="1" applyBorder="1" applyAlignment="1"/>
    <xf numFmtId="164" fontId="14" fillId="0" borderId="31" xfId="0" applyNumberFormat="1" applyFont="1" applyBorder="1"/>
    <xf numFmtId="166" fontId="3" fillId="0" borderId="8" xfId="0" applyNumberFormat="1" applyFont="1" applyBorder="1" applyAlignment="1"/>
    <xf numFmtId="166" fontId="2" fillId="0" borderId="8" xfId="0" applyNumberFormat="1" applyFont="1" applyBorder="1" applyAlignment="1"/>
    <xf numFmtId="166" fontId="3" fillId="0" borderId="24" xfId="0" applyNumberFormat="1" applyFont="1" applyBorder="1" applyAlignment="1"/>
    <xf numFmtId="166" fontId="3" fillId="0" borderId="16" xfId="0" applyNumberFormat="1" applyFont="1" applyBorder="1" applyAlignment="1"/>
    <xf numFmtId="166" fontId="3" fillId="0" borderId="23" xfId="0" applyNumberFormat="1" applyFont="1" applyBorder="1" applyAlignment="1"/>
    <xf numFmtId="166" fontId="3" fillId="0" borderId="8" xfId="0" quotePrefix="1" applyNumberFormat="1" applyFont="1" applyBorder="1" applyAlignment="1"/>
    <xf numFmtId="3" fontId="3" fillId="0" borderId="9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2" fillId="0" borderId="9" xfId="0" applyNumberFormat="1" applyFont="1" applyBorder="1" applyAlignment="1"/>
    <xf numFmtId="3" fontId="2" fillId="0" borderId="7" xfId="0" applyNumberFormat="1" applyFont="1" applyBorder="1" applyAlignment="1"/>
    <xf numFmtId="166" fontId="2" fillId="0" borderId="22" xfId="0" applyNumberFormat="1" applyFont="1" applyBorder="1" applyAlignment="1"/>
    <xf numFmtId="0" fontId="2" fillId="0" borderId="15" xfId="0" applyFont="1" applyBorder="1" applyAlignment="1">
      <alignment horizontal="center"/>
    </xf>
    <xf numFmtId="166" fontId="2" fillId="0" borderId="17" xfId="0" applyNumberFormat="1" applyFont="1" applyBorder="1" applyAlignment="1"/>
    <xf numFmtId="166" fontId="2" fillId="0" borderId="12" xfId="0" applyNumberFormat="1" applyFont="1" applyBorder="1" applyAlignment="1"/>
    <xf numFmtId="166" fontId="2" fillId="0" borderId="13" xfId="0" applyNumberFormat="1" applyFont="1" applyBorder="1" applyAlignment="1"/>
    <xf numFmtId="166" fontId="2" fillId="0" borderId="15" xfId="0" applyNumberFormat="1" applyFont="1" applyBorder="1" applyAlignment="1"/>
    <xf numFmtId="0" fontId="2" fillId="0" borderId="35" xfId="0" applyFont="1" applyBorder="1"/>
    <xf numFmtId="0" fontId="2" fillId="0" borderId="34" xfId="0" applyFont="1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6" fontId="12" fillId="0" borderId="9" xfId="0" applyNumberFormat="1" applyFont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166" fontId="12" fillId="0" borderId="9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19" fillId="0" borderId="9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66" fontId="0" fillId="0" borderId="9" xfId="0" applyNumberFormat="1" applyBorder="1" applyAlignment="1">
      <alignment horizontal="center" vertical="top"/>
    </xf>
    <xf numFmtId="166" fontId="0" fillId="0" borderId="0" xfId="0" applyNumberFormat="1" applyBorder="1" applyAlignment="1">
      <alignment horizontal="center" vertical="top"/>
    </xf>
    <xf numFmtId="166" fontId="0" fillId="0" borderId="8" xfId="0" applyNumberFormat="1" applyBorder="1" applyAlignment="1">
      <alignment horizontal="center" vertical="top"/>
    </xf>
    <xf numFmtId="168" fontId="0" fillId="0" borderId="0" xfId="1" applyNumberFormat="1" applyFont="1"/>
    <xf numFmtId="168" fontId="0" fillId="0" borderId="0" xfId="0" applyNumberFormat="1"/>
    <xf numFmtId="164" fontId="12" fillId="0" borderId="0" xfId="0" applyNumberFormat="1" applyFont="1" applyBorder="1" applyAlignment="1">
      <alignment horizontal="center"/>
    </xf>
    <xf numFmtId="168" fontId="12" fillId="0" borderId="0" xfId="1" applyNumberFormat="1" applyFont="1" applyBorder="1" applyAlignment="1">
      <alignment horizontal="center"/>
    </xf>
    <xf numFmtId="168" fontId="12" fillId="0" borderId="9" xfId="0" applyNumberFormat="1" applyFont="1" applyBorder="1" applyAlignment="1">
      <alignment horizontal="center"/>
    </xf>
    <xf numFmtId="0" fontId="33" fillId="0" borderId="0" xfId="0" applyFont="1" applyBorder="1"/>
    <xf numFmtId="0" fontId="33" fillId="0" borderId="7" xfId="0" applyFont="1" applyBorder="1"/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0" fillId="0" borderId="39" xfId="0" applyBorder="1"/>
    <xf numFmtId="0" fontId="0" fillId="0" borderId="51" xfId="0" applyBorder="1"/>
    <xf numFmtId="0" fontId="0" fillId="0" borderId="38" xfId="0" applyBorder="1"/>
    <xf numFmtId="164" fontId="0" fillId="0" borderId="39" xfId="0" applyNumberFormat="1" applyBorder="1"/>
    <xf numFmtId="164" fontId="0" fillId="0" borderId="38" xfId="0" applyNumberFormat="1" applyBorder="1"/>
    <xf numFmtId="0" fontId="0" fillId="0" borderId="11" xfId="0" quotePrefix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17" xfId="0" applyFont="1" applyBorder="1" applyAlignment="1">
      <alignment horizontal="right"/>
    </xf>
    <xf numFmtId="0" fontId="19" fillId="0" borderId="11" xfId="0" quotePrefix="1" applyFont="1" applyBorder="1"/>
    <xf numFmtId="0" fontId="19" fillId="0" borderId="11" xfId="0" applyFont="1" applyBorder="1"/>
    <xf numFmtId="0" fontId="19" fillId="0" borderId="6" xfId="0" applyFont="1" applyBorder="1"/>
    <xf numFmtId="0" fontId="19" fillId="0" borderId="0" xfId="0" applyFont="1" applyBorder="1"/>
    <xf numFmtId="0" fontId="19" fillId="0" borderId="8" xfId="0" applyFont="1" applyBorder="1"/>
    <xf numFmtId="0" fontId="19" fillId="0" borderId="0" xfId="0" applyFont="1" applyBorder="1" applyAlignment="1"/>
    <xf numFmtId="0" fontId="19" fillId="0" borderId="0" xfId="0" applyFont="1" applyFill="1" applyBorder="1"/>
    <xf numFmtId="0" fontId="19" fillId="0" borderId="14" xfId="0" applyFont="1" applyBorder="1"/>
    <xf numFmtId="0" fontId="19" fillId="0" borderId="15" xfId="0" applyFont="1" applyBorder="1"/>
    <xf numFmtId="0" fontId="19" fillId="0" borderId="23" xfId="0" applyFont="1" applyBorder="1"/>
    <xf numFmtId="0" fontId="19" fillId="0" borderId="7" xfId="0" applyFont="1" applyBorder="1"/>
    <xf numFmtId="0" fontId="19" fillId="0" borderId="0" xfId="0" applyFont="1" applyBorder="1" applyAlignment="1">
      <alignment horizontal="right"/>
    </xf>
    <xf numFmtId="0" fontId="19" fillId="0" borderId="10" xfId="0" applyFont="1" applyBorder="1"/>
    <xf numFmtId="0" fontId="19" fillId="0" borderId="12" xfId="0" applyFont="1" applyBorder="1"/>
    <xf numFmtId="0" fontId="19" fillId="0" borderId="9" xfId="0" applyFont="1" applyBorder="1"/>
    <xf numFmtId="0" fontId="19" fillId="0" borderId="3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164" fontId="19" fillId="0" borderId="9" xfId="0" applyNumberFormat="1" applyFont="1" applyBorder="1"/>
    <xf numFmtId="164" fontId="19" fillId="0" borderId="7" xfId="0" applyNumberFormat="1" applyFont="1" applyBorder="1"/>
    <xf numFmtId="164" fontId="19" fillId="0" borderId="0" xfId="0" applyNumberFormat="1" applyFont="1" applyBorder="1"/>
    <xf numFmtId="0" fontId="19" fillId="0" borderId="9" xfId="0" quotePrefix="1" applyFont="1" applyBorder="1"/>
    <xf numFmtId="0" fontId="19" fillId="0" borderId="9" xfId="0" applyFont="1" applyBorder="1" applyAlignment="1">
      <alignment horizontal="center"/>
    </xf>
    <xf numFmtId="0" fontId="19" fillId="0" borderId="0" xfId="0" quotePrefix="1" applyFont="1" applyBorder="1"/>
    <xf numFmtId="0" fontId="19" fillId="0" borderId="0" xfId="0" quotePrefix="1" applyFont="1" applyFill="1" applyBorder="1"/>
    <xf numFmtId="0" fontId="19" fillId="0" borderId="7" xfId="0" quotePrefix="1" applyFont="1" applyBorder="1"/>
    <xf numFmtId="0" fontId="19" fillId="0" borderId="29" xfId="0" applyFont="1" applyBorder="1" applyAlignment="1">
      <alignment horizontal="center"/>
    </xf>
    <xf numFmtId="0" fontId="19" fillId="0" borderId="2" xfId="0" applyFont="1" applyBorder="1"/>
    <xf numFmtId="0" fontId="19" fillId="0" borderId="2" xfId="0" quotePrefix="1" applyFont="1" applyBorder="1"/>
    <xf numFmtId="0" fontId="19" fillId="0" borderId="2" xfId="0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26" xfId="0" applyFont="1" applyBorder="1"/>
    <xf numFmtId="0" fontId="19" fillId="0" borderId="4" xfId="0" applyFont="1" applyBorder="1"/>
    <xf numFmtId="0" fontId="19" fillId="0" borderId="3" xfId="0" applyFont="1" applyBorder="1"/>
    <xf numFmtId="164" fontId="19" fillId="0" borderId="4" xfId="0" applyNumberFormat="1" applyFont="1" applyBorder="1"/>
    <xf numFmtId="164" fontId="19" fillId="0" borderId="3" xfId="0" applyNumberFormat="1" applyFont="1" applyBorder="1"/>
    <xf numFmtId="164" fontId="19" fillId="0" borderId="2" xfId="0" applyNumberFormat="1" applyFont="1" applyBorder="1"/>
    <xf numFmtId="0" fontId="12" fillId="0" borderId="0" xfId="0" applyFont="1"/>
    <xf numFmtId="0" fontId="12" fillId="0" borderId="35" xfId="0" applyFont="1" applyBorder="1"/>
    <xf numFmtId="0" fontId="12" fillId="0" borderId="15" xfId="0" applyFont="1" applyBorder="1" applyAlignment="1"/>
    <xf numFmtId="164" fontId="12" fillId="0" borderId="0" xfId="0" applyNumberFormat="1" applyFont="1" applyBorder="1"/>
    <xf numFmtId="0" fontId="12" fillId="0" borderId="0" xfId="0" quotePrefix="1" applyFont="1" applyBorder="1"/>
    <xf numFmtId="164" fontId="12" fillId="0" borderId="9" xfId="0" applyNumberFormat="1" applyFont="1" applyBorder="1" applyAlignment="1">
      <alignment horizontal="center"/>
    </xf>
    <xf numFmtId="0" fontId="12" fillId="0" borderId="0" xfId="0" quotePrefix="1" applyFont="1" applyFill="1" applyBorder="1"/>
    <xf numFmtId="0" fontId="12" fillId="0" borderId="15" xfId="0" applyFont="1" applyBorder="1" applyAlignment="1">
      <alignment horizontal="center" vertical="top"/>
    </xf>
    <xf numFmtId="0" fontId="12" fillId="0" borderId="1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top"/>
    </xf>
    <xf numFmtId="0" fontId="12" fillId="0" borderId="11" xfId="0" applyFont="1" applyBorder="1" applyAlignment="1">
      <alignment horizontal="left"/>
    </xf>
    <xf numFmtId="0" fontId="12" fillId="0" borderId="15" xfId="0" quotePrefix="1" applyFont="1" applyFill="1" applyBorder="1"/>
    <xf numFmtId="0" fontId="12" fillId="0" borderId="2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166" fontId="12" fillId="0" borderId="24" xfId="0" applyNumberFormat="1" applyFont="1" applyBorder="1" applyAlignment="1">
      <alignment horizontal="center"/>
    </xf>
    <xf numFmtId="166" fontId="12" fillId="0" borderId="15" xfId="0" applyNumberFormat="1" applyFont="1" applyBorder="1" applyAlignment="1">
      <alignment horizontal="center"/>
    </xf>
    <xf numFmtId="166" fontId="12" fillId="0" borderId="16" xfId="0" applyNumberFormat="1" applyFont="1" applyBorder="1" applyAlignment="1">
      <alignment horizontal="center"/>
    </xf>
    <xf numFmtId="164" fontId="12" fillId="0" borderId="11" xfId="0" applyNumberFormat="1" applyFont="1" applyBorder="1"/>
    <xf numFmtId="164" fontId="12" fillId="0" borderId="17" xfId="0" applyNumberFormat="1" applyFont="1" applyBorder="1"/>
    <xf numFmtId="164" fontId="12" fillId="0" borderId="13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166" fontId="19" fillId="0" borderId="9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166" fontId="19" fillId="0" borderId="8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9" xfId="0" quotePrefix="1" applyFont="1" applyBorder="1" applyAlignment="1">
      <alignment horizontal="left" wrapText="1"/>
    </xf>
    <xf numFmtId="168" fontId="19" fillId="0" borderId="9" xfId="1" applyNumberFormat="1" applyFont="1" applyBorder="1" applyAlignment="1">
      <alignment horizontal="center"/>
    </xf>
    <xf numFmtId="168" fontId="19" fillId="0" borderId="7" xfId="1" applyNumberFormat="1" applyFont="1" applyBorder="1" applyAlignment="1">
      <alignment horizontal="center"/>
    </xf>
    <xf numFmtId="166" fontId="19" fillId="0" borderId="9" xfId="0" applyNumberFormat="1" applyFont="1" applyBorder="1"/>
    <xf numFmtId="166" fontId="19" fillId="0" borderId="0" xfId="0" applyNumberFormat="1" applyFont="1" applyBorder="1"/>
    <xf numFmtId="166" fontId="19" fillId="0" borderId="8" xfId="0" applyNumberFormat="1" applyFont="1" applyBorder="1"/>
    <xf numFmtId="0" fontId="19" fillId="0" borderId="25" xfId="0" applyFont="1" applyBorder="1"/>
    <xf numFmtId="0" fontId="0" fillId="0" borderId="6" xfId="0" applyFont="1" applyBorder="1"/>
    <xf numFmtId="0" fontId="0" fillId="0" borderId="15" xfId="0" applyFont="1" applyBorder="1" applyAlignment="1"/>
    <xf numFmtId="0" fontId="37" fillId="0" borderId="0" xfId="0" applyFont="1" applyBorder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36" fillId="0" borderId="19" xfId="0" applyFont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38" fillId="0" borderId="24" xfId="0" applyFont="1" applyBorder="1"/>
    <xf numFmtId="0" fontId="38" fillId="0" borderId="15" xfId="0" applyFont="1" applyBorder="1"/>
    <xf numFmtId="0" fontId="38" fillId="0" borderId="23" xfId="0" applyFont="1" applyBorder="1"/>
    <xf numFmtId="0" fontId="38" fillId="0" borderId="9" xfId="0" applyFont="1" applyBorder="1"/>
    <xf numFmtId="0" fontId="38" fillId="0" borderId="0" xfId="0" applyFont="1" applyBorder="1"/>
    <xf numFmtId="0" fontId="38" fillId="0" borderId="7" xfId="0" applyFont="1" applyBorder="1"/>
    <xf numFmtId="0" fontId="38" fillId="0" borderId="0" xfId="0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0" fontId="38" fillId="0" borderId="17" xfId="0" applyFont="1" applyBorder="1"/>
    <xf numFmtId="0" fontId="38" fillId="0" borderId="11" xfId="0" applyFont="1" applyBorder="1"/>
    <xf numFmtId="0" fontId="38" fillId="0" borderId="12" xfId="0" applyFont="1" applyBorder="1"/>
    <xf numFmtId="0" fontId="36" fillId="0" borderId="31" xfId="0" applyFont="1" applyBorder="1"/>
    <xf numFmtId="0" fontId="36" fillId="0" borderId="31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9" xfId="0" applyFont="1" applyBorder="1"/>
    <xf numFmtId="0" fontId="36" fillId="0" borderId="0" xfId="0" applyFont="1" applyBorder="1"/>
    <xf numFmtId="0" fontId="36" fillId="0" borderId="7" xfId="0" applyFont="1" applyBorder="1"/>
    <xf numFmtId="0" fontId="0" fillId="0" borderId="9" xfId="0" quotePrefix="1" applyFont="1" applyBorder="1"/>
    <xf numFmtId="0" fontId="0" fillId="0" borderId="0" xfId="0" quotePrefix="1" applyFont="1" applyBorder="1"/>
    <xf numFmtId="0" fontId="0" fillId="0" borderId="7" xfId="0" quotePrefix="1" applyFont="1" applyBorder="1"/>
    <xf numFmtId="0" fontId="0" fillId="0" borderId="0" xfId="0" quotePrefix="1" applyFont="1" applyFill="1" applyBorder="1"/>
    <xf numFmtId="0" fontId="36" fillId="0" borderId="6" xfId="0" applyFont="1" applyBorder="1"/>
    <xf numFmtId="0" fontId="36" fillId="0" borderId="0" xfId="0" quotePrefix="1" applyFont="1" applyBorder="1"/>
    <xf numFmtId="0" fontId="38" fillId="0" borderId="9" xfId="0" quotePrefix="1" applyFont="1" applyBorder="1"/>
    <xf numFmtId="0" fontId="38" fillId="0" borderId="6" xfId="0" applyFont="1" applyBorder="1"/>
    <xf numFmtId="0" fontId="38" fillId="0" borderId="0" xfId="0" quotePrefix="1" applyFont="1" applyBorder="1"/>
    <xf numFmtId="0" fontId="36" fillId="0" borderId="6" xfId="0" applyFont="1" applyBorder="1" applyAlignment="1">
      <alignment horizontal="center"/>
    </xf>
    <xf numFmtId="0" fontId="0" fillId="0" borderId="25" xfId="0" applyFont="1" applyBorder="1"/>
    <xf numFmtId="0" fontId="0" fillId="0" borderId="26" xfId="0" applyFont="1" applyBorder="1"/>
    <xf numFmtId="0" fontId="0" fillId="0" borderId="34" xfId="0" applyFont="1" applyBorder="1"/>
    <xf numFmtId="0" fontId="0" fillId="0" borderId="27" xfId="0" applyFont="1" applyBorder="1"/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49" xfId="0" applyBorder="1"/>
    <xf numFmtId="0" fontId="37" fillId="0" borderId="6" xfId="0" applyFont="1" applyBorder="1"/>
    <xf numFmtId="0" fontId="37" fillId="0" borderId="8" xfId="0" applyFont="1" applyBorder="1"/>
    <xf numFmtId="0" fontId="37" fillId="0" borderId="0" xfId="0" applyFont="1" applyFill="1" applyBorder="1"/>
    <xf numFmtId="0" fontId="37" fillId="0" borderId="14" xfId="0" applyFont="1" applyBorder="1"/>
    <xf numFmtId="0" fontId="37" fillId="0" borderId="15" xfId="0" applyFont="1" applyBorder="1"/>
    <xf numFmtId="0" fontId="37" fillId="0" borderId="10" xfId="0" applyFont="1" applyBorder="1"/>
    <xf numFmtId="0" fontId="37" fillId="0" borderId="11" xfId="0" applyFont="1" applyBorder="1"/>
    <xf numFmtId="0" fontId="37" fillId="0" borderId="9" xfId="0" applyFont="1" applyBorder="1"/>
    <xf numFmtId="0" fontId="37" fillId="0" borderId="7" xfId="0" applyFont="1" applyBorder="1"/>
    <xf numFmtId="0" fontId="40" fillId="0" borderId="9" xfId="0" applyFont="1" applyBorder="1"/>
    <xf numFmtId="0" fontId="37" fillId="0" borderId="9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168" fontId="37" fillId="0" borderId="9" xfId="1" applyNumberFormat="1" applyFont="1" applyBorder="1" applyAlignment="1">
      <alignment horizontal="center"/>
    </xf>
    <xf numFmtId="168" fontId="37" fillId="0" borderId="7" xfId="1" applyNumberFormat="1" applyFont="1" applyBorder="1" applyAlignment="1">
      <alignment horizontal="center"/>
    </xf>
    <xf numFmtId="166" fontId="37" fillId="0" borderId="9" xfId="0" applyNumberFormat="1" applyFont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166" fontId="37" fillId="0" borderId="8" xfId="0" applyNumberFormat="1" applyFont="1" applyBorder="1" applyAlignment="1">
      <alignment horizontal="center"/>
    </xf>
    <xf numFmtId="168" fontId="37" fillId="0" borderId="0" xfId="1" applyNumberFormat="1" applyFont="1" applyBorder="1" applyAlignment="1">
      <alignment horizontal="center"/>
    </xf>
    <xf numFmtId="0" fontId="37" fillId="0" borderId="25" xfId="0" applyFont="1" applyBorder="1"/>
    <xf numFmtId="0" fontId="37" fillId="0" borderId="26" xfId="0" applyFont="1" applyBorder="1"/>
    <xf numFmtId="0" fontId="37" fillId="0" borderId="34" xfId="0" applyFont="1" applyBorder="1"/>
    <xf numFmtId="0" fontId="37" fillId="0" borderId="35" xfId="0" applyFont="1" applyBorder="1"/>
    <xf numFmtId="0" fontId="37" fillId="0" borderId="34" xfId="0" applyFont="1" applyBorder="1" applyAlignment="1">
      <alignment horizontal="center"/>
    </xf>
    <xf numFmtId="0" fontId="37" fillId="0" borderId="35" xfId="0" applyFont="1" applyBorder="1" applyAlignment="1">
      <alignment horizontal="center"/>
    </xf>
    <xf numFmtId="168" fontId="37" fillId="0" borderId="26" xfId="1" applyNumberFormat="1" applyFont="1" applyBorder="1" applyAlignment="1">
      <alignment horizontal="center"/>
    </xf>
    <xf numFmtId="165" fontId="37" fillId="0" borderId="34" xfId="0" applyNumberFormat="1" applyFont="1" applyBorder="1" applyAlignment="1">
      <alignment horizontal="center"/>
    </xf>
    <xf numFmtId="165" fontId="37" fillId="0" borderId="26" xfId="0" applyNumberFormat="1" applyFont="1" applyBorder="1" applyAlignment="1">
      <alignment horizontal="center"/>
    </xf>
    <xf numFmtId="165" fontId="37" fillId="0" borderId="27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65" fontId="37" fillId="0" borderId="0" xfId="0" applyNumberFormat="1" applyFont="1" applyBorder="1" applyAlignment="1">
      <alignment horizontal="center"/>
    </xf>
    <xf numFmtId="0" fontId="37" fillId="0" borderId="1" xfId="0" applyFont="1" applyBorder="1"/>
    <xf numFmtId="0" fontId="37" fillId="0" borderId="2" xfId="0" applyFont="1" applyBorder="1"/>
    <xf numFmtId="0" fontId="37" fillId="0" borderId="4" xfId="0" applyFont="1" applyBorder="1"/>
    <xf numFmtId="0" fontId="37" fillId="0" borderId="4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168" fontId="37" fillId="0" borderId="4" xfId="1" applyNumberFormat="1" applyFont="1" applyBorder="1" applyAlignment="1">
      <alignment horizontal="center"/>
    </xf>
    <xf numFmtId="168" fontId="37" fillId="0" borderId="2" xfId="1" applyNumberFormat="1" applyFont="1" applyBorder="1" applyAlignment="1">
      <alignment horizontal="center"/>
    </xf>
    <xf numFmtId="165" fontId="37" fillId="0" borderId="4" xfId="0" applyNumberFormat="1" applyFont="1" applyBorder="1" applyAlignment="1">
      <alignment horizontal="center"/>
    </xf>
    <xf numFmtId="165" fontId="37" fillId="0" borderId="2" xfId="0" applyNumberFormat="1" applyFont="1" applyBorder="1" applyAlignment="1">
      <alignment horizontal="center"/>
    </xf>
    <xf numFmtId="165" fontId="37" fillId="0" borderId="5" xfId="0" applyNumberFormat="1" applyFont="1" applyBorder="1" applyAlignment="1">
      <alignment horizontal="center"/>
    </xf>
    <xf numFmtId="165" fontId="37" fillId="0" borderId="9" xfId="0" applyNumberFormat="1" applyFont="1" applyBorder="1" applyAlignment="1">
      <alignment horizontal="center"/>
    </xf>
    <xf numFmtId="165" fontId="37" fillId="0" borderId="8" xfId="0" applyNumberFormat="1" applyFont="1" applyBorder="1" applyAlignment="1">
      <alignment horizontal="center"/>
    </xf>
    <xf numFmtId="165" fontId="37" fillId="0" borderId="9" xfId="0" applyNumberFormat="1" applyFont="1" applyBorder="1"/>
    <xf numFmtId="165" fontId="37" fillId="0" borderId="0" xfId="0" applyNumberFormat="1" applyFont="1" applyBorder="1"/>
    <xf numFmtId="165" fontId="37" fillId="0" borderId="8" xfId="0" applyNumberFormat="1" applyFont="1" applyBorder="1"/>
    <xf numFmtId="0" fontId="37" fillId="0" borderId="0" xfId="0" quotePrefix="1" applyFont="1" applyBorder="1"/>
    <xf numFmtId="0" fontId="37" fillId="0" borderId="7" xfId="0" quotePrefix="1" applyFont="1" applyBorder="1"/>
    <xf numFmtId="0" fontId="37" fillId="0" borderId="9" xfId="0" quotePrefix="1" applyFont="1" applyBorder="1"/>
    <xf numFmtId="164" fontId="37" fillId="0" borderId="0" xfId="0" applyNumberFormat="1" applyFont="1" applyBorder="1"/>
    <xf numFmtId="164" fontId="37" fillId="0" borderId="9" xfId="0" applyNumberFormat="1" applyFont="1" applyBorder="1"/>
    <xf numFmtId="0" fontId="37" fillId="0" borderId="9" xfId="0" quotePrefix="1" applyFont="1" applyFill="1" applyBorder="1"/>
    <xf numFmtId="0" fontId="37" fillId="0" borderId="17" xfId="0" applyFont="1" applyBorder="1"/>
    <xf numFmtId="164" fontId="37" fillId="0" borderId="17" xfId="0" applyNumberFormat="1" applyFont="1" applyBorder="1"/>
    <xf numFmtId="0" fontId="37" fillId="0" borderId="27" xfId="0" applyFont="1" applyBorder="1"/>
    <xf numFmtId="0" fontId="37" fillId="0" borderId="0" xfId="0" applyFont="1" applyBorder="1" applyAlignment="1"/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1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2" fillId="0" borderId="36" xfId="0" applyFont="1" applyBorder="1" applyAlignment="1">
      <alignment vertical="center"/>
    </xf>
    <xf numFmtId="0" fontId="12" fillId="0" borderId="37" xfId="0" applyFont="1" applyBorder="1"/>
    <xf numFmtId="0" fontId="18" fillId="0" borderId="6" xfId="0" applyFont="1" applyBorder="1"/>
    <xf numFmtId="0" fontId="19" fillId="0" borderId="9" xfId="0" applyFont="1" applyBorder="1" applyAlignment="1">
      <alignment horizontal="center" vertical="center"/>
    </xf>
    <xf numFmtId="0" fontId="19" fillId="0" borderId="37" xfId="0" applyFont="1" applyBorder="1"/>
    <xf numFmtId="0" fontId="19" fillId="0" borderId="36" xfId="0" applyFont="1" applyBorder="1" applyAlignment="1">
      <alignment vertical="center"/>
    </xf>
    <xf numFmtId="0" fontId="12" fillId="0" borderId="40" xfId="0" applyFont="1" applyBorder="1"/>
    <xf numFmtId="0" fontId="0" fillId="0" borderId="36" xfId="0" applyBorder="1" applyAlignment="1">
      <alignment vertical="center"/>
    </xf>
    <xf numFmtId="0" fontId="12" fillId="0" borderId="36" xfId="0" applyFont="1" applyBorder="1"/>
    <xf numFmtId="0" fontId="5" fillId="0" borderId="53" xfId="0" applyFont="1" applyBorder="1"/>
    <xf numFmtId="0" fontId="5" fillId="0" borderId="54" xfId="0" applyFont="1" applyBorder="1"/>
    <xf numFmtId="0" fontId="24" fillId="0" borderId="0" xfId="0" applyFont="1" applyBorder="1"/>
    <xf numFmtId="0" fontId="1" fillId="0" borderId="10" xfId="0" applyFont="1" applyBorder="1" applyAlignment="1"/>
    <xf numFmtId="0" fontId="1" fillId="0" borderId="13" xfId="0" applyFont="1" applyBorder="1" applyAlignment="1"/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7" xfId="0" applyFont="1" applyBorder="1" applyAlignment="1"/>
    <xf numFmtId="0" fontId="0" fillId="0" borderId="40" xfId="0" applyBorder="1"/>
    <xf numFmtId="0" fontId="19" fillId="0" borderId="9" xfId="0" applyFont="1" applyBorder="1" applyAlignment="1">
      <alignment horizontal="right"/>
    </xf>
    <xf numFmtId="0" fontId="1" fillId="0" borderId="15" xfId="0" applyFont="1" applyBorder="1" applyAlignment="1"/>
    <xf numFmtId="0" fontId="1" fillId="0" borderId="11" xfId="0" applyFont="1" applyBorder="1" applyAlignment="1"/>
    <xf numFmtId="0" fontId="19" fillId="0" borderId="53" xfId="0" applyFont="1" applyBorder="1" applyAlignment="1">
      <alignment vertical="center"/>
    </xf>
    <xf numFmtId="0" fontId="19" fillId="0" borderId="54" xfId="0" applyFont="1" applyBorder="1"/>
    <xf numFmtId="0" fontId="12" fillId="0" borderId="54" xfId="0" applyFont="1" applyBorder="1"/>
    <xf numFmtId="0" fontId="12" fillId="0" borderId="55" xfId="0" applyFont="1" applyBorder="1"/>
    <xf numFmtId="0" fontId="41" fillId="0" borderId="0" xfId="0" applyFont="1" applyBorder="1"/>
    <xf numFmtId="0" fontId="0" fillId="0" borderId="22" xfId="0" applyBorder="1"/>
    <xf numFmtId="0" fontId="0" fillId="0" borderId="18" xfId="0" applyBorder="1" applyAlignment="1">
      <alignment vertical="center"/>
    </xf>
    <xf numFmtId="0" fontId="0" fillId="0" borderId="0" xfId="0" quotePrefix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1" fillId="0" borderId="6" xfId="0" applyFont="1" applyBorder="1" applyAlignment="1">
      <alignment vertical="justify"/>
    </xf>
    <xf numFmtId="0" fontId="1" fillId="0" borderId="8" xfId="0" applyFont="1" applyBorder="1" applyAlignment="1">
      <alignment vertical="justify"/>
    </xf>
    <xf numFmtId="0" fontId="19" fillId="0" borderId="11" xfId="0" applyFont="1" applyBorder="1" applyAlignment="1">
      <alignment horizontal="right"/>
    </xf>
    <xf numFmtId="0" fontId="19" fillId="0" borderId="13" xfId="0" applyFont="1" applyBorder="1"/>
    <xf numFmtId="166" fontId="2" fillId="0" borderId="9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37" fillId="0" borderId="9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6" fillId="0" borderId="10" xfId="0" applyFont="1" applyBorder="1" applyAlignment="1"/>
    <xf numFmtId="0" fontId="36" fillId="0" borderId="13" xfId="0" applyFont="1" applyBorder="1" applyAlignment="1"/>
    <xf numFmtId="0" fontId="36" fillId="0" borderId="6" xfId="0" applyFont="1" applyBorder="1" applyAlignment="1"/>
    <xf numFmtId="0" fontId="36" fillId="0" borderId="8" xfId="0" applyFont="1" applyBorder="1" applyAlignment="1"/>
    <xf numFmtId="0" fontId="36" fillId="0" borderId="6" xfId="0" applyFont="1" applyBorder="1" applyAlignment="1">
      <alignment vertical="justify"/>
    </xf>
    <xf numFmtId="0" fontId="36" fillId="0" borderId="8" xfId="0" applyFont="1" applyBorder="1" applyAlignment="1">
      <alignment vertical="justify"/>
    </xf>
    <xf numFmtId="0" fontId="0" fillId="0" borderId="18" xfId="0" applyBorder="1"/>
    <xf numFmtId="0" fontId="0" fillId="0" borderId="19" xfId="0" applyFont="1" applyBorder="1"/>
    <xf numFmtId="0" fontId="37" fillId="0" borderId="53" xfId="0" applyFont="1" applyBorder="1"/>
    <xf numFmtId="0" fontId="37" fillId="0" borderId="54" xfId="0" applyFont="1" applyBorder="1"/>
    <xf numFmtId="0" fontId="37" fillId="0" borderId="54" xfId="0" applyFont="1" applyBorder="1" applyAlignment="1">
      <alignment horizontal="center"/>
    </xf>
    <xf numFmtId="0" fontId="14" fillId="0" borderId="31" xfId="0" applyFont="1" applyBorder="1" applyAlignment="1">
      <alignment vertical="top"/>
    </xf>
    <xf numFmtId="0" fontId="14" fillId="0" borderId="44" xfId="0" applyFont="1" applyBorder="1" applyAlignment="1">
      <alignment horizontal="left" vertical="center"/>
    </xf>
    <xf numFmtId="0" fontId="14" fillId="0" borderId="44" xfId="0" quotePrefix="1" applyFont="1" applyBorder="1" applyAlignment="1">
      <alignment horizontal="left" vertical="center"/>
    </xf>
    <xf numFmtId="0" fontId="14" fillId="0" borderId="31" xfId="0" applyFont="1" applyBorder="1" applyAlignment="1">
      <alignment horizontal="left" vertical="top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top"/>
    </xf>
    <xf numFmtId="0" fontId="14" fillId="0" borderId="32" xfId="0" quotePrefix="1" applyFont="1" applyBorder="1" applyAlignment="1">
      <alignment horizontal="left" vertical="top"/>
    </xf>
    <xf numFmtId="164" fontId="14" fillId="0" borderId="33" xfId="0" applyNumberFormat="1" applyFont="1" applyBorder="1" applyAlignment="1"/>
    <xf numFmtId="2" fontId="11" fillId="0" borderId="31" xfId="0" quotePrefix="1" applyNumberFormat="1" applyFont="1" applyBorder="1" applyAlignment="1">
      <alignment horizontal="left" vertical="top"/>
    </xf>
    <xf numFmtId="164" fontId="16" fillId="0" borderId="33" xfId="0" applyNumberFormat="1" applyFont="1" applyBorder="1" applyAlignment="1">
      <alignment vertical="top"/>
    </xf>
    <xf numFmtId="164" fontId="11" fillId="0" borderId="31" xfId="0" applyNumberFormat="1" applyFont="1" applyBorder="1" applyAlignment="1">
      <alignment horizontal="center"/>
    </xf>
    <xf numFmtId="164" fontId="11" fillId="0" borderId="33" xfId="0" applyNumberFormat="1" applyFont="1" applyBorder="1"/>
    <xf numFmtId="164" fontId="16" fillId="0" borderId="33" xfId="0" applyNumberFormat="1" applyFont="1" applyBorder="1" applyAlignment="1">
      <alignment horizontal="center" vertical="top"/>
    </xf>
    <xf numFmtId="164" fontId="14" fillId="0" borderId="4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14" fillId="0" borderId="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0" fillId="0" borderId="0" xfId="0" applyBorder="1"/>
    <xf numFmtId="0" fontId="0" fillId="0" borderId="53" xfId="0" applyBorder="1" applyAlignment="1">
      <alignment vertical="center"/>
    </xf>
    <xf numFmtId="0" fontId="12" fillId="0" borderId="53" xfId="0" applyFont="1" applyBorder="1" applyAlignment="1">
      <alignment vertical="center"/>
    </xf>
    <xf numFmtId="0" fontId="19" fillId="0" borderId="4" xfId="0" applyFont="1" applyBorder="1" applyAlignment="1">
      <alignment horizontal="right"/>
    </xf>
    <xf numFmtId="0" fontId="19" fillId="0" borderId="2" xfId="0" quotePrefix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13" fillId="0" borderId="33" xfId="0" applyNumberFormat="1" applyFont="1" applyBorder="1" applyAlignment="1"/>
    <xf numFmtId="164" fontId="13" fillId="0" borderId="31" xfId="0" applyNumberFormat="1" applyFont="1" applyBorder="1" applyAlignment="1">
      <alignment horizontal="center" vertical="top"/>
    </xf>
    <xf numFmtId="164" fontId="13" fillId="0" borderId="33" xfId="0" applyNumberFormat="1" applyFont="1" applyBorder="1" applyAlignment="1">
      <alignment horizontal="center" vertical="top"/>
    </xf>
    <xf numFmtId="0" fontId="13" fillId="0" borderId="16" xfId="0" applyFont="1" applyBorder="1" applyAlignment="1"/>
    <xf numFmtId="0" fontId="13" fillId="0" borderId="13" xfId="0" applyFont="1" applyBorder="1" applyAlignment="1"/>
    <xf numFmtId="0" fontId="14" fillId="0" borderId="4" xfId="0" applyFont="1" applyBorder="1" applyAlignment="1"/>
    <xf numFmtId="0" fontId="14" fillId="0" borderId="5" xfId="0" applyFont="1" applyBorder="1" applyAlignment="1"/>
    <xf numFmtId="0" fontId="14" fillId="0" borderId="9" xfId="0" applyFont="1" applyBorder="1" applyAlignment="1"/>
    <xf numFmtId="0" fontId="14" fillId="0" borderId="8" xfId="0" applyFont="1" applyBorder="1" applyAlignment="1"/>
    <xf numFmtId="0" fontId="43" fillId="0" borderId="2" xfId="0" applyFont="1" applyBorder="1" applyAlignment="1"/>
    <xf numFmtId="0" fontId="43" fillId="0" borderId="0" xfId="0" applyFont="1" applyBorder="1" applyAlignment="1"/>
    <xf numFmtId="0" fontId="43" fillId="0" borderId="0" xfId="0" applyFont="1" applyBorder="1"/>
    <xf numFmtId="0" fontId="14" fillId="0" borderId="24" xfId="0" applyFont="1" applyBorder="1"/>
    <xf numFmtId="0" fontId="14" fillId="0" borderId="21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4" fillId="0" borderId="48" xfId="0" applyFont="1" applyBorder="1" applyAlignment="1">
      <alignment horizontal="center" vertical="top"/>
    </xf>
    <xf numFmtId="164" fontId="16" fillId="0" borderId="12" xfId="0" applyNumberFormat="1" applyFont="1" applyBorder="1" applyAlignment="1">
      <alignment horizontal="center" vertical="top"/>
    </xf>
    <xf numFmtId="164" fontId="14" fillId="0" borderId="13" xfId="0" applyNumberFormat="1" applyFont="1" applyBorder="1" applyAlignment="1">
      <alignment vertical="top"/>
    </xf>
    <xf numFmtId="164" fontId="16" fillId="0" borderId="13" xfId="0" applyNumberFormat="1" applyFont="1" applyBorder="1" applyAlignment="1">
      <alignment vertical="top"/>
    </xf>
    <xf numFmtId="164" fontId="13" fillId="0" borderId="50" xfId="0" applyNumberFormat="1" applyFont="1" applyBorder="1" applyAlignment="1">
      <alignment horizontal="center"/>
    </xf>
    <xf numFmtId="164" fontId="14" fillId="0" borderId="22" xfId="0" applyNumberFormat="1" applyFont="1" applyBorder="1" applyAlignment="1">
      <alignment vertical="top"/>
    </xf>
    <xf numFmtId="164" fontId="16" fillId="0" borderId="20" xfId="0" applyNumberFormat="1" applyFont="1" applyBorder="1" applyAlignment="1">
      <alignment horizontal="center"/>
    </xf>
    <xf numFmtId="164" fontId="21" fillId="0" borderId="22" xfId="0" applyNumberFormat="1" applyFont="1" applyBorder="1"/>
    <xf numFmtId="164" fontId="14" fillId="0" borderId="22" xfId="0" applyNumberFormat="1" applyFont="1" applyBorder="1"/>
    <xf numFmtId="164" fontId="13" fillId="0" borderId="20" xfId="0" applyNumberFormat="1" applyFont="1" applyBorder="1" applyAlignment="1"/>
    <xf numFmtId="0" fontId="43" fillId="0" borderId="6" xfId="0" applyFont="1" applyBorder="1" applyAlignment="1"/>
    <xf numFmtId="0" fontId="43" fillId="0" borderId="6" xfId="0" applyFont="1" applyBorder="1"/>
    <xf numFmtId="0" fontId="44" fillId="0" borderId="6" xfId="0" applyFont="1" applyBorder="1" applyAlignment="1"/>
    <xf numFmtId="0" fontId="44" fillId="0" borderId="0" xfId="0" applyFont="1" applyBorder="1" applyAlignment="1"/>
    <xf numFmtId="0" fontId="43" fillId="0" borderId="6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64" fontId="46" fillId="0" borderId="6" xfId="0" applyNumberFormat="1" applyFont="1" applyBorder="1" applyAlignment="1">
      <alignment horizontal="center" vertical="top"/>
    </xf>
    <xf numFmtId="164" fontId="46" fillId="0" borderId="0" xfId="0" applyNumberFormat="1" applyFont="1" applyBorder="1" applyAlignment="1">
      <alignment horizontal="center" vertical="top"/>
    </xf>
    <xf numFmtId="164" fontId="43" fillId="0" borderId="6" xfId="0" applyNumberFormat="1" applyFont="1" applyBorder="1" applyAlignment="1">
      <alignment horizontal="center" vertical="top"/>
    </xf>
    <xf numFmtId="164" fontId="43" fillId="0" borderId="0" xfId="0" applyNumberFormat="1" applyFont="1" applyBorder="1" applyAlignment="1">
      <alignment horizontal="center" vertical="top"/>
    </xf>
    <xf numFmtId="164" fontId="44" fillId="0" borderId="6" xfId="0" applyNumberFormat="1" applyFont="1" applyBorder="1" applyAlignment="1">
      <alignment horizontal="center"/>
    </xf>
    <xf numFmtId="164" fontId="44" fillId="0" borderId="0" xfId="0" applyNumberFormat="1" applyFont="1" applyBorder="1" applyAlignment="1">
      <alignment horizontal="center"/>
    </xf>
    <xf numFmtId="164" fontId="43" fillId="0" borderId="6" xfId="0" applyNumberFormat="1" applyFont="1" applyFill="1" applyBorder="1" applyAlignment="1">
      <alignment horizontal="center" vertical="top"/>
    </xf>
    <xf numFmtId="164" fontId="43" fillId="0" borderId="6" xfId="0" applyNumberFormat="1" applyFont="1" applyBorder="1" applyAlignment="1">
      <alignment horizontal="center"/>
    </xf>
    <xf numFmtId="164" fontId="43" fillId="0" borderId="0" xfId="0" applyNumberFormat="1" applyFont="1" applyBorder="1" applyAlignment="1">
      <alignment horizontal="center"/>
    </xf>
    <xf numFmtId="164" fontId="46" fillId="0" borderId="6" xfId="0" applyNumberFormat="1" applyFont="1" applyBorder="1" applyAlignment="1">
      <alignment horizontal="center"/>
    </xf>
    <xf numFmtId="164" fontId="46" fillId="0" borderId="0" xfId="0" applyNumberFormat="1" applyFont="1" applyBorder="1" applyAlignment="1">
      <alignment horizontal="center"/>
    </xf>
    <xf numFmtId="164" fontId="44" fillId="0" borderId="0" xfId="0" applyNumberFormat="1" applyFont="1" applyBorder="1" applyAlignment="1"/>
    <xf numFmtId="164" fontId="13" fillId="0" borderId="19" xfId="0" applyNumberFormat="1" applyFont="1" applyBorder="1" applyAlignment="1"/>
    <xf numFmtId="0" fontId="14" fillId="0" borderId="28" xfId="0" quotePrefix="1" applyFont="1" applyBorder="1" applyAlignment="1">
      <alignment vertical="top"/>
    </xf>
    <xf numFmtId="0" fontId="14" fillId="0" borderId="15" xfId="0" applyFont="1" applyBorder="1"/>
    <xf numFmtId="0" fontId="11" fillId="0" borderId="15" xfId="0" quotePrefix="1" applyFont="1" applyBorder="1" applyAlignment="1">
      <alignment vertical="top"/>
    </xf>
    <xf numFmtId="0" fontId="11" fillId="0" borderId="15" xfId="0" applyFont="1" applyFill="1" applyBorder="1" applyAlignment="1">
      <alignment horizontal="left" vertical="center" wrapText="1"/>
    </xf>
    <xf numFmtId="0" fontId="14" fillId="0" borderId="15" xfId="0" applyFont="1" applyBorder="1" applyAlignment="1">
      <alignment vertical="top"/>
    </xf>
    <xf numFmtId="9" fontId="14" fillId="0" borderId="15" xfId="0" applyNumberFormat="1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164" fontId="14" fillId="0" borderId="15" xfId="0" applyNumberFormat="1" applyFont="1" applyBorder="1" applyAlignment="1">
      <alignment horizontal="center" vertical="top"/>
    </xf>
    <xf numFmtId="164" fontId="14" fillId="0" borderId="15" xfId="0" applyNumberFormat="1" applyFont="1" applyBorder="1" applyAlignment="1">
      <alignment vertical="top"/>
    </xf>
    <xf numFmtId="0" fontId="11" fillId="0" borderId="0" xfId="0" quotePrefix="1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46" xfId="0" applyFont="1" applyBorder="1" applyAlignment="1">
      <alignment horizontal="left"/>
    </xf>
    <xf numFmtId="0" fontId="11" fillId="0" borderId="47" xfId="0" quotePrefix="1" applyFont="1" applyBorder="1" applyAlignment="1">
      <alignment vertical="top"/>
    </xf>
    <xf numFmtId="9" fontId="14" fillId="0" borderId="47" xfId="0" applyNumberFormat="1" applyFont="1" applyBorder="1" applyAlignment="1">
      <alignment horizontal="center"/>
    </xf>
    <xf numFmtId="164" fontId="16" fillId="0" borderId="47" xfId="0" applyNumberFormat="1" applyFont="1" applyBorder="1" applyAlignment="1">
      <alignment horizontal="center" vertical="top"/>
    </xf>
    <xf numFmtId="164" fontId="16" fillId="0" borderId="56" xfId="0" applyNumberFormat="1" applyFont="1" applyBorder="1" applyAlignment="1">
      <alignment vertical="top"/>
    </xf>
    <xf numFmtId="0" fontId="12" fillId="0" borderId="13" xfId="0" applyFont="1" applyBorder="1"/>
    <xf numFmtId="0" fontId="14" fillId="0" borderId="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2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0" fillId="0" borderId="0" xfId="0" applyBorder="1"/>
    <xf numFmtId="164" fontId="31" fillId="0" borderId="30" xfId="0" applyNumberFormat="1" applyFont="1" applyBorder="1" applyAlignment="1">
      <alignment horizontal="center" vertical="top"/>
    </xf>
    <xf numFmtId="164" fontId="31" fillId="0" borderId="45" xfId="0" applyNumberFormat="1" applyFont="1" applyBorder="1" applyAlignment="1">
      <alignment vertical="top"/>
    </xf>
    <xf numFmtId="164" fontId="12" fillId="0" borderId="30" xfId="0" applyNumberFormat="1" applyFont="1" applyBorder="1" applyAlignment="1">
      <alignment horizontal="center" vertical="top"/>
    </xf>
    <xf numFmtId="164" fontId="12" fillId="0" borderId="45" xfId="0" applyNumberFormat="1" applyFont="1" applyBorder="1" applyAlignment="1">
      <alignment vertical="top"/>
    </xf>
    <xf numFmtId="164" fontId="31" fillId="0" borderId="31" xfId="0" applyNumberFormat="1" applyFont="1" applyBorder="1" applyAlignment="1">
      <alignment horizontal="center" vertical="top"/>
    </xf>
    <xf numFmtId="164" fontId="31" fillId="0" borderId="33" xfId="0" applyNumberFormat="1" applyFont="1" applyBorder="1" applyAlignment="1">
      <alignment vertical="top"/>
    </xf>
    <xf numFmtId="164" fontId="12" fillId="0" borderId="31" xfId="0" applyNumberFormat="1" applyFont="1" applyBorder="1" applyAlignment="1">
      <alignment horizontal="center"/>
    </xf>
    <xf numFmtId="164" fontId="12" fillId="0" borderId="33" xfId="0" applyNumberFormat="1" applyFont="1" applyBorder="1" applyAlignment="1"/>
    <xf numFmtId="164" fontId="12" fillId="0" borderId="31" xfId="0" applyNumberFormat="1" applyFont="1" applyBorder="1" applyAlignment="1">
      <alignment horizontal="center" vertical="top"/>
    </xf>
    <xf numFmtId="164" fontId="12" fillId="0" borderId="33" xfId="0" applyNumberFormat="1" applyFont="1" applyBorder="1" applyAlignment="1">
      <alignment vertical="top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1" xfId="0" applyFont="1" applyBorder="1" applyAlignment="1">
      <alignment horizontal="left" wrapText="1"/>
    </xf>
    <xf numFmtId="0" fontId="13" fillId="0" borderId="31" xfId="0" applyFont="1" applyBorder="1" applyAlignment="1">
      <alignment horizontal="left" wrapText="1"/>
    </xf>
    <xf numFmtId="0" fontId="11" fillId="0" borderId="21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31" xfId="0" applyFont="1" applyBorder="1" applyAlignment="1">
      <alignment horizontal="left" wrapText="1"/>
    </xf>
    <xf numFmtId="0" fontId="14" fillId="0" borderId="21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1" fillId="0" borderId="21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3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4" fontId="14" fillId="0" borderId="21" xfId="0" applyNumberFormat="1" applyFont="1" applyBorder="1" applyAlignment="1">
      <alignment horizontal="left"/>
    </xf>
    <xf numFmtId="164" fontId="14" fillId="0" borderId="19" xfId="0" applyNumberFormat="1" applyFont="1" applyBorder="1" applyAlignment="1">
      <alignment horizontal="left"/>
    </xf>
    <xf numFmtId="164" fontId="14" fillId="0" borderId="20" xfId="0" applyNumberFormat="1" applyFont="1" applyBorder="1" applyAlignment="1">
      <alignment horizontal="left"/>
    </xf>
    <xf numFmtId="0" fontId="13" fillId="0" borderId="48" xfId="0" applyFont="1" applyFill="1" applyBorder="1" applyAlignment="1">
      <alignment horizontal="left" wrapText="1"/>
    </xf>
    <xf numFmtId="0" fontId="13" fillId="0" borderId="49" xfId="0" applyFont="1" applyFill="1" applyBorder="1" applyAlignment="1">
      <alignment horizontal="left" wrapText="1"/>
    </xf>
    <xf numFmtId="0" fontId="13" fillId="0" borderId="50" xfId="0" applyFont="1" applyFill="1" applyBorder="1" applyAlignment="1">
      <alignment horizontal="left" wrapText="1"/>
    </xf>
    <xf numFmtId="164" fontId="14" fillId="0" borderId="0" xfId="0" applyNumberFormat="1" applyFont="1" applyBorder="1" applyAlignment="1">
      <alignment horizontal="center"/>
    </xf>
    <xf numFmtId="0" fontId="11" fillId="0" borderId="31" xfId="0" applyFont="1" applyFill="1" applyBorder="1" applyAlignment="1">
      <alignment horizontal="left" wrapText="1"/>
    </xf>
    <xf numFmtId="0" fontId="14" fillId="0" borderId="1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6" fontId="2" fillId="0" borderId="9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2" fillId="0" borderId="9" xfId="1" applyFont="1" applyBorder="1" applyAlignment="1">
      <alignment horizontal="center"/>
    </xf>
    <xf numFmtId="165" fontId="2" fillId="0" borderId="8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2" fillId="0" borderId="7" xfId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6" fontId="3" fillId="0" borderId="24" xfId="0" applyNumberFormat="1" applyFont="1" applyBorder="1" applyAlignment="1">
      <alignment horizontal="center"/>
    </xf>
    <xf numFmtId="166" fontId="3" fillId="0" borderId="15" xfId="0" applyNumberFormat="1" applyFont="1" applyBorder="1" applyAlignment="1">
      <alignment horizontal="center"/>
    </xf>
    <xf numFmtId="166" fontId="3" fillId="0" borderId="1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6" fontId="22" fillId="0" borderId="9" xfId="0" applyNumberFormat="1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166" fontId="22" fillId="0" borderId="8" xfId="0" applyNumberFormat="1" applyFont="1" applyBorder="1" applyAlignment="1">
      <alignment horizontal="center"/>
    </xf>
    <xf numFmtId="164" fontId="2" fillId="0" borderId="9" xfId="2" applyFont="1" applyBorder="1" applyAlignment="1">
      <alignment horizontal="center"/>
    </xf>
    <xf numFmtId="164" fontId="2" fillId="0" borderId="7" xfId="2" applyFont="1" applyBorder="1" applyAlignment="1">
      <alignment horizontal="center"/>
    </xf>
    <xf numFmtId="164" fontId="2" fillId="0" borderId="8" xfId="2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66" fontId="47" fillId="0" borderId="9" xfId="0" applyNumberFormat="1" applyFont="1" applyBorder="1" applyAlignment="1">
      <alignment horizontal="center"/>
    </xf>
    <xf numFmtId="166" fontId="47" fillId="0" borderId="0" xfId="0" applyNumberFormat="1" applyFont="1" applyBorder="1" applyAlignment="1">
      <alignment horizontal="center"/>
    </xf>
    <xf numFmtId="166" fontId="47" fillId="0" borderId="8" xfId="0" applyNumberFormat="1" applyFont="1" applyBorder="1" applyAlignment="1">
      <alignment horizontal="center"/>
    </xf>
    <xf numFmtId="0" fontId="20" fillId="0" borderId="21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0" fillId="0" borderId="21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20" fillId="0" borderId="20" xfId="0" applyFont="1" applyBorder="1" applyAlignment="1">
      <alignment horizontal="left" vertical="top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3" fillId="0" borderId="21" xfId="0" applyFont="1" applyBorder="1" applyAlignment="1">
      <alignment horizontal="left" wrapText="1"/>
    </xf>
    <xf numFmtId="0" fontId="13" fillId="0" borderId="19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0" fillId="0" borderId="1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8" fillId="0" borderId="21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8" fillId="0" borderId="21" xfId="0" applyFont="1" applyBorder="1" applyAlignment="1">
      <alignment horizontal="left" wrapText="1"/>
    </xf>
    <xf numFmtId="0" fontId="18" fillId="0" borderId="19" xfId="0" applyFont="1" applyBorder="1" applyAlignment="1">
      <alignment horizontal="left" wrapText="1"/>
    </xf>
    <xf numFmtId="0" fontId="18" fillId="0" borderId="20" xfId="0" applyFont="1" applyBorder="1" applyAlignment="1">
      <alignment horizontal="left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164" fontId="14" fillId="0" borderId="24" xfId="0" applyNumberFormat="1" applyFont="1" applyBorder="1" applyAlignment="1">
      <alignment horizont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64" fontId="14" fillId="0" borderId="24" xfId="0" applyNumberFormat="1" applyFont="1" applyBorder="1" applyAlignment="1">
      <alignment horizontal="left" vertical="center"/>
    </xf>
    <xf numFmtId="164" fontId="14" fillId="0" borderId="15" xfId="0" applyNumberFormat="1" applyFont="1" applyBorder="1" applyAlignment="1">
      <alignment horizontal="left" vertical="center"/>
    </xf>
    <xf numFmtId="164" fontId="14" fillId="0" borderId="23" xfId="0" applyNumberFormat="1" applyFont="1" applyBorder="1" applyAlignment="1">
      <alignment horizontal="left" vertical="center"/>
    </xf>
    <xf numFmtId="164" fontId="14" fillId="0" borderId="16" xfId="0" applyNumberFormat="1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164" fontId="18" fillId="0" borderId="0" xfId="0" applyNumberFormat="1" applyFont="1" applyBorder="1" applyAlignment="1">
      <alignment horizontal="center"/>
    </xf>
    <xf numFmtId="164" fontId="18" fillId="0" borderId="11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/>
    </xf>
    <xf numFmtId="0" fontId="2" fillId="0" borderId="3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/>
    </xf>
    <xf numFmtId="0" fontId="30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65" fontId="3" fillId="0" borderId="9" xfId="1" applyFont="1" applyBorder="1" applyAlignment="1">
      <alignment horizontal="center"/>
    </xf>
    <xf numFmtId="165" fontId="3" fillId="0" borderId="7" xfId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21" xfId="1" applyFont="1" applyBorder="1" applyAlignment="1">
      <alignment horizontal="center" vertical="center"/>
    </xf>
    <xf numFmtId="165" fontId="2" fillId="0" borderId="19" xfId="1" applyFont="1" applyBorder="1" applyAlignment="1">
      <alignment horizontal="center" vertical="center"/>
    </xf>
    <xf numFmtId="165" fontId="2" fillId="0" borderId="20" xfId="1" applyFont="1" applyBorder="1" applyAlignment="1">
      <alignment horizontal="center" vertical="center"/>
    </xf>
    <xf numFmtId="165" fontId="2" fillId="0" borderId="21" xfId="1" applyFont="1" applyBorder="1" applyAlignment="1">
      <alignment horizontal="center"/>
    </xf>
    <xf numFmtId="165" fontId="2" fillId="0" borderId="19" xfId="1" applyFont="1" applyBorder="1" applyAlignment="1">
      <alignment horizontal="center"/>
    </xf>
    <xf numFmtId="165" fontId="2" fillId="0" borderId="20" xfId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66" fontId="3" fillId="0" borderId="9" xfId="0" quotePrefix="1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horizontal="left" vertical="top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quotePrefix="1" applyFont="1" applyBorder="1" applyAlignment="1">
      <alignment horizontal="center" vertical="center" wrapText="1"/>
    </xf>
    <xf numFmtId="0" fontId="14" fillId="0" borderId="20" xfId="0" quotePrefix="1" applyFont="1" applyBorder="1" applyAlignment="1">
      <alignment horizontal="center" vertical="center" wrapText="1"/>
    </xf>
    <xf numFmtId="164" fontId="14" fillId="0" borderId="21" xfId="0" applyNumberFormat="1" applyFont="1" applyBorder="1" applyAlignment="1">
      <alignment horizontal="left" vertical="center"/>
    </xf>
    <xf numFmtId="164" fontId="14" fillId="0" borderId="19" xfId="0" applyNumberFormat="1" applyFont="1" applyBorder="1" applyAlignment="1">
      <alignment horizontal="left" vertical="center"/>
    </xf>
    <xf numFmtId="164" fontId="14" fillId="0" borderId="20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wrapTex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5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left"/>
    </xf>
    <xf numFmtId="164" fontId="1" fillId="0" borderId="9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3" xfId="0" applyBorder="1" applyAlignment="1">
      <alignment horizontal="left"/>
    </xf>
    <xf numFmtId="164" fontId="1" fillId="0" borderId="2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7" fillId="0" borderId="9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166" fontId="0" fillId="0" borderId="0" xfId="0" applyNumberFormat="1" applyBorder="1" applyAlignment="1">
      <alignment horizontal="left"/>
    </xf>
    <xf numFmtId="166" fontId="0" fillId="0" borderId="8" xfId="0" applyNumberFormat="1" applyBorder="1" applyAlignment="1">
      <alignment horizontal="left"/>
    </xf>
    <xf numFmtId="166" fontId="17" fillId="0" borderId="24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7" fillId="0" borderId="24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166" fontId="0" fillId="0" borderId="0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36" fillId="0" borderId="14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6" fontId="12" fillId="0" borderId="9" xfId="0" applyNumberFormat="1" applyFont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166" fontId="12" fillId="0" borderId="21" xfId="0" applyNumberFormat="1" applyFont="1" applyBorder="1" applyAlignment="1">
      <alignment horizontal="center"/>
    </xf>
    <xf numFmtId="166" fontId="12" fillId="0" borderId="19" xfId="0" applyNumberFormat="1" applyFont="1" applyBorder="1" applyAlignment="1">
      <alignment horizontal="center"/>
    </xf>
    <xf numFmtId="166" fontId="12" fillId="0" borderId="22" xfId="0" applyNumberFormat="1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9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8" xfId="0" applyNumberFormat="1" applyFont="1" applyBorder="1" applyAlignment="1">
      <alignment horizontal="right"/>
    </xf>
    <xf numFmtId="0" fontId="12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166" fontId="35" fillId="0" borderId="24" xfId="0" applyNumberFormat="1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9" fontId="12" fillId="0" borderId="24" xfId="0" applyNumberFormat="1" applyFont="1" applyBorder="1" applyAlignment="1">
      <alignment horizontal="center"/>
    </xf>
    <xf numFmtId="9" fontId="12" fillId="0" borderId="15" xfId="0" applyNumberFormat="1" applyFont="1" applyBorder="1" applyAlignment="1">
      <alignment horizontal="center"/>
    </xf>
    <xf numFmtId="9" fontId="12" fillId="0" borderId="16" xfId="0" applyNumberFormat="1" applyFont="1" applyBorder="1" applyAlignment="1">
      <alignment horizontal="center"/>
    </xf>
    <xf numFmtId="168" fontId="12" fillId="0" borderId="9" xfId="0" applyNumberFormat="1" applyFont="1" applyBorder="1" applyAlignment="1">
      <alignment horizontal="center"/>
    </xf>
    <xf numFmtId="168" fontId="12" fillId="0" borderId="9" xfId="1" applyNumberFormat="1" applyFont="1" applyBorder="1" applyAlignment="1">
      <alignment horizontal="center"/>
    </xf>
    <xf numFmtId="168" fontId="12" fillId="0" borderId="7" xfId="1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168" fontId="12" fillId="0" borderId="8" xfId="0" applyNumberFormat="1" applyFont="1" applyBorder="1" applyAlignment="1">
      <alignment horizontal="center"/>
    </xf>
    <xf numFmtId="168" fontId="31" fillId="0" borderId="9" xfId="0" applyNumberFormat="1" applyFont="1" applyBorder="1" applyAlignment="1">
      <alignment horizontal="center"/>
    </xf>
    <xf numFmtId="168" fontId="31" fillId="0" borderId="0" xfId="0" applyNumberFormat="1" applyFont="1" applyBorder="1" applyAlignment="1">
      <alignment horizontal="center"/>
    </xf>
    <xf numFmtId="168" fontId="31" fillId="0" borderId="8" xfId="0" applyNumberFormat="1" applyFont="1" applyBorder="1" applyAlignment="1">
      <alignment horizontal="center"/>
    </xf>
    <xf numFmtId="0" fontId="12" fillId="0" borderId="9" xfId="0" quotePrefix="1" applyFont="1" applyBorder="1" applyAlignment="1">
      <alignment horizontal="left" wrapText="1"/>
    </xf>
    <xf numFmtId="0" fontId="12" fillId="0" borderId="0" xfId="0" quotePrefix="1" applyFont="1" applyBorder="1" applyAlignment="1">
      <alignment horizontal="left" wrapText="1"/>
    </xf>
    <xf numFmtId="0" fontId="12" fillId="0" borderId="7" xfId="0" quotePrefix="1" applyFont="1" applyBorder="1" applyAlignment="1">
      <alignment horizontal="left" wrapText="1"/>
    </xf>
    <xf numFmtId="166" fontId="31" fillId="0" borderId="24" xfId="0" applyNumberFormat="1" applyFont="1" applyBorder="1" applyAlignment="1">
      <alignment horizontal="center"/>
    </xf>
    <xf numFmtId="166" fontId="31" fillId="0" borderId="15" xfId="0" applyNumberFormat="1" applyFont="1" applyBorder="1" applyAlignment="1">
      <alignment horizontal="center"/>
    </xf>
    <xf numFmtId="166" fontId="31" fillId="0" borderId="16" xfId="0" applyNumberFormat="1" applyFont="1" applyBorder="1" applyAlignment="1">
      <alignment horizontal="center"/>
    </xf>
    <xf numFmtId="0" fontId="34" fillId="0" borderId="9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4" fillId="0" borderId="7" xfId="0" applyFont="1" applyBorder="1" applyAlignment="1">
      <alignment horizontal="left"/>
    </xf>
    <xf numFmtId="166" fontId="32" fillId="0" borderId="9" xfId="0" applyNumberFormat="1" applyFont="1" applyBorder="1" applyAlignment="1">
      <alignment horizontal="right"/>
    </xf>
    <xf numFmtId="166" fontId="32" fillId="0" borderId="0" xfId="0" applyNumberFormat="1" applyFont="1" applyBorder="1" applyAlignment="1">
      <alignment horizontal="right"/>
    </xf>
    <xf numFmtId="166" fontId="32" fillId="0" borderId="8" xfId="0" applyNumberFormat="1" applyFont="1" applyBorder="1" applyAlignment="1">
      <alignment horizontal="right"/>
    </xf>
    <xf numFmtId="166" fontId="32" fillId="0" borderId="9" xfId="0" applyNumberFormat="1" applyFont="1" applyBorder="1" applyAlignment="1">
      <alignment horizontal="center"/>
    </xf>
    <xf numFmtId="166" fontId="32" fillId="0" borderId="0" xfId="0" applyNumberFormat="1" applyFont="1" applyBorder="1" applyAlignment="1">
      <alignment horizontal="center"/>
    </xf>
    <xf numFmtId="166" fontId="32" fillId="0" borderId="8" xfId="0" applyNumberFormat="1" applyFont="1" applyBorder="1" applyAlignment="1">
      <alignment horizontal="center"/>
    </xf>
    <xf numFmtId="165" fontId="31" fillId="0" borderId="24" xfId="0" applyNumberFormat="1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quotePrefix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166" fontId="1" fillId="0" borderId="15" xfId="0" applyNumberFormat="1" applyFont="1" applyBorder="1" applyAlignment="1">
      <alignment horizontal="center"/>
    </xf>
    <xf numFmtId="166" fontId="1" fillId="0" borderId="16" xfId="0" applyNumberFormat="1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1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9" fontId="0" fillId="0" borderId="24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166" fontId="0" fillId="0" borderId="0" xfId="0" applyNumberFormat="1" applyBorder="1" applyAlignment="1">
      <alignment horizontal="right"/>
    </xf>
    <xf numFmtId="166" fontId="0" fillId="0" borderId="8" xfId="0" applyNumberFormat="1" applyBorder="1" applyAlignment="1">
      <alignment horizontal="right"/>
    </xf>
    <xf numFmtId="0" fontId="5" fillId="0" borderId="9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164" fontId="5" fillId="0" borderId="7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166" fontId="5" fillId="0" borderId="24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5" fillId="0" borderId="16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quotePrefix="1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9" fontId="5" fillId="0" borderId="15" xfId="0" applyNumberFormat="1" applyFont="1" applyBorder="1" applyAlignment="1">
      <alignment horizontal="center"/>
    </xf>
    <xf numFmtId="9" fontId="5" fillId="0" borderId="16" xfId="0" applyNumberFormat="1" applyFont="1" applyBorder="1" applyAlignment="1">
      <alignment horizontal="center"/>
    </xf>
    <xf numFmtId="166" fontId="1" fillId="0" borderId="24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166" fontId="19" fillId="0" borderId="39" xfId="0" applyNumberFormat="1" applyFont="1" applyBorder="1" applyAlignment="1">
      <alignment horizontal="center"/>
    </xf>
    <xf numFmtId="166" fontId="19" fillId="0" borderId="37" xfId="0" applyNumberFormat="1" applyFont="1" applyBorder="1" applyAlignment="1">
      <alignment horizontal="center"/>
    </xf>
    <xf numFmtId="166" fontId="19" fillId="0" borderId="40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6" fontId="19" fillId="0" borderId="9" xfId="0" applyNumberFormat="1" applyFont="1" applyBorder="1" applyAlignment="1">
      <alignment horizontal="center"/>
    </xf>
    <xf numFmtId="166" fontId="19" fillId="0" borderId="8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6" fontId="1" fillId="0" borderId="4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0" fontId="19" fillId="0" borderId="9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29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/>
    </xf>
    <xf numFmtId="9" fontId="19" fillId="0" borderId="15" xfId="0" applyNumberFormat="1" applyFont="1" applyBorder="1" applyAlignment="1">
      <alignment horizontal="center"/>
    </xf>
    <xf numFmtId="9" fontId="19" fillId="0" borderId="16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31" fillId="0" borderId="15" xfId="0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166" fontId="2" fillId="0" borderId="11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3" fillId="0" borderId="14" xfId="0" applyFont="1" applyBorder="1" applyAlignment="1">
      <alignment horizontal="left"/>
    </xf>
    <xf numFmtId="0" fontId="33" fillId="0" borderId="15" xfId="0" applyFont="1" applyBorder="1" applyAlignment="1">
      <alignment horizontal="left"/>
    </xf>
    <xf numFmtId="0" fontId="33" fillId="0" borderId="23" xfId="0" applyFont="1" applyBorder="1" applyAlignment="1">
      <alignment horizontal="left"/>
    </xf>
    <xf numFmtId="0" fontId="33" fillId="0" borderId="6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166" fontId="17" fillId="0" borderId="9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166" fontId="17" fillId="0" borderId="8" xfId="0" applyNumberFormat="1" applyFont="1" applyBorder="1" applyAlignment="1">
      <alignment horizontal="center"/>
    </xf>
    <xf numFmtId="0" fontId="33" fillId="0" borderId="6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7" xfId="0" applyFont="1" applyBorder="1" applyAlignment="1">
      <alignment horizontal="left"/>
    </xf>
    <xf numFmtId="0" fontId="33" fillId="0" borderId="9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33" fillId="0" borderId="7" xfId="0" applyFont="1" applyBorder="1" applyAlignment="1">
      <alignment horizontal="left" wrapText="1"/>
    </xf>
    <xf numFmtId="168" fontId="0" fillId="0" borderId="9" xfId="1" applyNumberFormat="1" applyFont="1" applyBorder="1" applyAlignment="1">
      <alignment horizontal="center" wrapText="1"/>
    </xf>
    <xf numFmtId="168" fontId="0" fillId="0" borderId="7" xfId="1" applyNumberFormat="1" applyFont="1" applyBorder="1" applyAlignment="1">
      <alignment horizontal="center" wrapText="1"/>
    </xf>
    <xf numFmtId="166" fontId="17" fillId="0" borderId="15" xfId="0" applyNumberFormat="1" applyFont="1" applyBorder="1" applyAlignment="1">
      <alignment horizontal="center"/>
    </xf>
    <xf numFmtId="166" fontId="17" fillId="0" borderId="16" xfId="0" applyNumberFormat="1" applyFont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0" fontId="33" fillId="0" borderId="9" xfId="0" applyFont="1" applyBorder="1" applyAlignment="1">
      <alignment horizontal="left" vertical="center"/>
    </xf>
    <xf numFmtId="168" fontId="0" fillId="0" borderId="9" xfId="1" applyNumberFormat="1" applyFont="1" applyBorder="1" applyAlignment="1">
      <alignment horizontal="center"/>
    </xf>
    <xf numFmtId="168" fontId="0" fillId="0" borderId="7" xfId="1" applyNumberFormat="1" applyFont="1" applyBorder="1" applyAlignment="1">
      <alignment horizontal="center"/>
    </xf>
    <xf numFmtId="0" fontId="5" fillId="0" borderId="9" xfId="0" quotePrefix="1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5" fillId="0" borderId="7" xfId="0" quotePrefix="1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12" fillId="0" borderId="11" xfId="0" quotePrefix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quotePrefix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20" xfId="0" applyFont="1" applyBorder="1" applyAlignment="1">
      <alignment horizontal="center" vertical="top"/>
    </xf>
    <xf numFmtId="0" fontId="12" fillId="0" borderId="21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166" fontId="12" fillId="0" borderId="24" xfId="0" applyNumberFormat="1" applyFont="1" applyBorder="1" applyAlignment="1">
      <alignment horizontal="center"/>
    </xf>
    <xf numFmtId="166" fontId="12" fillId="0" borderId="15" xfId="0" applyNumberFormat="1" applyFont="1" applyBorder="1" applyAlignment="1">
      <alignment horizontal="center"/>
    </xf>
    <xf numFmtId="166" fontId="12" fillId="0" borderId="16" xfId="0" applyNumberFormat="1" applyFont="1" applyBorder="1" applyAlignment="1">
      <alignment horizontal="center"/>
    </xf>
    <xf numFmtId="9" fontId="11" fillId="0" borderId="24" xfId="0" applyNumberFormat="1" applyFont="1" applyBorder="1" applyAlignment="1">
      <alignment horizontal="center"/>
    </xf>
    <xf numFmtId="9" fontId="11" fillId="0" borderId="15" xfId="0" applyNumberFormat="1" applyFont="1" applyBorder="1" applyAlignment="1">
      <alignment horizontal="center"/>
    </xf>
    <xf numFmtId="9" fontId="11" fillId="0" borderId="16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" fillId="0" borderId="6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166" fontId="17" fillId="0" borderId="9" xfId="0" applyNumberFormat="1" applyFont="1" applyBorder="1" applyAlignment="1">
      <alignment horizontal="center" vertical="top"/>
    </xf>
    <xf numFmtId="166" fontId="17" fillId="0" borderId="0" xfId="0" applyNumberFormat="1" applyFont="1" applyBorder="1" applyAlignment="1">
      <alignment horizontal="center" vertical="top"/>
    </xf>
    <xf numFmtId="166" fontId="17" fillId="0" borderId="8" xfId="0" applyNumberFormat="1" applyFont="1" applyBorder="1" applyAlignment="1">
      <alignment horizontal="center" vertical="top"/>
    </xf>
    <xf numFmtId="165" fontId="17" fillId="0" borderId="9" xfId="0" applyNumberFormat="1" applyFont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5" fillId="0" borderId="7" xfId="0" quotePrefix="1" applyFont="1" applyBorder="1" applyAlignment="1">
      <alignment horizontal="left" wrapText="1"/>
    </xf>
    <xf numFmtId="0" fontId="12" fillId="0" borderId="54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0" fillId="0" borderId="11" xfId="0" applyNumberForma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36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9" fontId="38" fillId="0" borderId="24" xfId="0" applyNumberFormat="1" applyFont="1" applyBorder="1" applyAlignment="1">
      <alignment horizontal="center"/>
    </xf>
    <xf numFmtId="9" fontId="38" fillId="0" borderId="15" xfId="0" applyNumberFormat="1" applyFont="1" applyBorder="1" applyAlignment="1">
      <alignment horizontal="center"/>
    </xf>
    <xf numFmtId="9" fontId="38" fillId="0" borderId="16" xfId="0" applyNumberFormat="1" applyFont="1" applyBorder="1" applyAlignment="1">
      <alignment horizontal="center"/>
    </xf>
    <xf numFmtId="166" fontId="38" fillId="0" borderId="0" xfId="0" applyNumberFormat="1" applyFont="1" applyBorder="1" applyAlignment="1">
      <alignment horizontal="center"/>
    </xf>
    <xf numFmtId="166" fontId="38" fillId="0" borderId="8" xfId="0" applyNumberFormat="1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7" fillId="0" borderId="9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0" xfId="0" quotePrefix="1" applyFont="1" applyBorder="1" applyAlignment="1">
      <alignment horizontal="center" vertical="center"/>
    </xf>
    <xf numFmtId="0" fontId="37" fillId="0" borderId="11" xfId="0" quotePrefix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5" xfId="0" quotePrefix="1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6" fillId="0" borderId="24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6" fillId="0" borderId="6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7" xfId="0" applyFont="1" applyBorder="1" applyAlignment="1">
      <alignment horizontal="left"/>
    </xf>
    <xf numFmtId="166" fontId="36" fillId="0" borderId="9" xfId="0" applyNumberFormat="1" applyFont="1" applyBorder="1" applyAlignment="1">
      <alignment horizontal="center"/>
    </xf>
    <xf numFmtId="166" fontId="36" fillId="0" borderId="0" xfId="0" applyNumberFormat="1" applyFont="1" applyBorder="1" applyAlignment="1">
      <alignment horizontal="center"/>
    </xf>
    <xf numFmtId="166" fontId="36" fillId="0" borderId="8" xfId="0" applyNumberFormat="1" applyFont="1" applyBorder="1" applyAlignment="1">
      <alignment horizontal="center"/>
    </xf>
    <xf numFmtId="0" fontId="36" fillId="0" borderId="14" xfId="0" applyFont="1" applyBorder="1" applyAlignment="1">
      <alignment horizontal="left"/>
    </xf>
    <xf numFmtId="0" fontId="36" fillId="0" borderId="15" xfId="0" applyFont="1" applyBorder="1" applyAlignment="1">
      <alignment horizontal="left"/>
    </xf>
    <xf numFmtId="0" fontId="36" fillId="0" borderId="23" xfId="0" applyFont="1" applyBorder="1" applyAlignment="1">
      <alignment horizontal="left"/>
    </xf>
    <xf numFmtId="0" fontId="40" fillId="0" borderId="15" xfId="0" applyFont="1" applyBorder="1" applyAlignment="1">
      <alignment horizontal="left"/>
    </xf>
    <xf numFmtId="166" fontId="36" fillId="0" borderId="24" xfId="0" applyNumberFormat="1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168" fontId="37" fillId="0" borderId="9" xfId="1" applyNumberFormat="1" applyFont="1" applyBorder="1" applyAlignment="1">
      <alignment horizontal="center"/>
    </xf>
    <xf numFmtId="168" fontId="37" fillId="0" borderId="7" xfId="1" applyNumberFormat="1" applyFont="1" applyBorder="1" applyAlignment="1">
      <alignment horizontal="center"/>
    </xf>
    <xf numFmtId="166" fontId="37" fillId="0" borderId="9" xfId="0" applyNumberFormat="1" applyFont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166" fontId="37" fillId="0" borderId="8" xfId="0" applyNumberFormat="1" applyFont="1" applyBorder="1" applyAlignment="1">
      <alignment horizontal="center"/>
    </xf>
    <xf numFmtId="166" fontId="38" fillId="0" borderId="9" xfId="0" applyNumberFormat="1" applyFont="1" applyBorder="1" applyAlignment="1">
      <alignment horizontal="center"/>
    </xf>
    <xf numFmtId="0" fontId="37" fillId="0" borderId="54" xfId="0" applyFont="1" applyBorder="1" applyAlignment="1">
      <alignment horizontal="center"/>
    </xf>
    <xf numFmtId="0" fontId="37" fillId="0" borderId="55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166" fontId="37" fillId="0" borderId="26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4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3" xfId="0" applyFont="1" applyBorder="1" applyAlignment="1">
      <alignment horizontal="left" vertical="center"/>
    </xf>
    <xf numFmtId="0" fontId="37" fillId="0" borderId="34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5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165" fontId="37" fillId="0" borderId="9" xfId="0" applyNumberFormat="1" applyFont="1" applyBorder="1" applyAlignment="1">
      <alignment horizontal="center"/>
    </xf>
    <xf numFmtId="165" fontId="37" fillId="0" borderId="0" xfId="0" applyNumberFormat="1" applyFont="1" applyBorder="1" applyAlignment="1">
      <alignment horizontal="center"/>
    </xf>
    <xf numFmtId="165" fontId="37" fillId="0" borderId="8" xfId="0" applyNumberFormat="1" applyFont="1" applyBorder="1" applyAlignment="1">
      <alignment horizontal="center"/>
    </xf>
    <xf numFmtId="0" fontId="37" fillId="0" borderId="9" xfId="0" applyFont="1" applyBorder="1" applyAlignment="1">
      <alignment horizontal="left" wrapText="1"/>
    </xf>
    <xf numFmtId="0" fontId="37" fillId="0" borderId="0" xfId="0" quotePrefix="1" applyFont="1" applyBorder="1" applyAlignment="1">
      <alignment horizontal="left" wrapText="1"/>
    </xf>
    <xf numFmtId="0" fontId="37" fillId="0" borderId="7" xfId="0" quotePrefix="1" applyFont="1" applyBorder="1" applyAlignment="1">
      <alignment horizontal="left" wrapText="1"/>
    </xf>
    <xf numFmtId="0" fontId="37" fillId="0" borderId="9" xfId="0" quotePrefix="1" applyFont="1" applyBorder="1" applyAlignment="1">
      <alignment horizontal="left" wrapText="1"/>
    </xf>
    <xf numFmtId="164" fontId="37" fillId="0" borderId="9" xfId="0" applyNumberFormat="1" applyFont="1" applyBorder="1" applyAlignment="1">
      <alignment horizontal="center"/>
    </xf>
    <xf numFmtId="164" fontId="37" fillId="0" borderId="7" xfId="0" applyNumberFormat="1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165" fontId="37" fillId="0" borderId="17" xfId="0" applyNumberFormat="1" applyFont="1" applyBorder="1" applyAlignment="1">
      <alignment horizontal="center"/>
    </xf>
    <xf numFmtId="165" fontId="37" fillId="0" borderId="11" xfId="0" applyNumberFormat="1" applyFont="1" applyBorder="1" applyAlignment="1">
      <alignment horizontal="center"/>
    </xf>
    <xf numFmtId="165" fontId="37" fillId="0" borderId="13" xfId="0" applyNumberFormat="1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165" fontId="37" fillId="0" borderId="24" xfId="0" applyNumberFormat="1" applyFont="1" applyBorder="1" applyAlignment="1">
      <alignment horizontal="center"/>
    </xf>
    <xf numFmtId="165" fontId="37" fillId="0" borderId="15" xfId="0" applyNumberFormat="1" applyFont="1" applyBorder="1" applyAlignment="1">
      <alignment horizontal="center"/>
    </xf>
    <xf numFmtId="165" fontId="37" fillId="0" borderId="16" xfId="0" applyNumberFormat="1" applyFont="1" applyBorder="1" applyAlignment="1">
      <alignment horizontal="center"/>
    </xf>
    <xf numFmtId="165" fontId="36" fillId="0" borderId="9" xfId="0" applyNumberFormat="1" applyFont="1" applyBorder="1" applyAlignment="1">
      <alignment horizontal="center"/>
    </xf>
    <xf numFmtId="165" fontId="36" fillId="0" borderId="0" xfId="0" applyNumberFormat="1" applyFont="1" applyBorder="1" applyAlignment="1">
      <alignment horizontal="center"/>
    </xf>
    <xf numFmtId="165" fontId="36" fillId="0" borderId="8" xfId="0" applyNumberFormat="1" applyFont="1" applyBorder="1" applyAlignment="1">
      <alignment horizontal="center"/>
    </xf>
    <xf numFmtId="165" fontId="37" fillId="0" borderId="9" xfId="1" applyNumberFormat="1" applyFont="1" applyBorder="1" applyAlignment="1">
      <alignment horizontal="center"/>
    </xf>
    <xf numFmtId="165" fontId="37" fillId="0" borderId="0" xfId="1" applyNumberFormat="1" applyFont="1" applyBorder="1" applyAlignment="1">
      <alignment horizontal="center"/>
    </xf>
    <xf numFmtId="165" fontId="37" fillId="0" borderId="8" xfId="1" applyNumberFormat="1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11" xfId="0" quotePrefix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quotePrefix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164" fontId="19" fillId="0" borderId="9" xfId="1" applyNumberFormat="1" applyFont="1" applyBorder="1" applyAlignment="1">
      <alignment horizontal="center"/>
    </xf>
    <xf numFmtId="164" fontId="19" fillId="0" borderId="7" xfId="1" applyNumberFormat="1" applyFont="1" applyBorder="1" applyAlignment="1">
      <alignment horizontal="center"/>
    </xf>
    <xf numFmtId="166" fontId="35" fillId="0" borderId="9" xfId="0" applyNumberFormat="1" applyFont="1" applyBorder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166" fontId="35" fillId="0" borderId="8" xfId="0" applyNumberFormat="1" applyFont="1" applyBorder="1" applyAlignment="1">
      <alignment horizontal="center"/>
    </xf>
    <xf numFmtId="168" fontId="19" fillId="0" borderId="9" xfId="1" applyNumberFormat="1" applyFont="1" applyBorder="1" applyAlignment="1">
      <alignment horizontal="center"/>
    </xf>
    <xf numFmtId="168" fontId="19" fillId="0" borderId="7" xfId="1" applyNumberFormat="1" applyFont="1" applyBorder="1" applyAlignment="1">
      <alignment horizontal="center"/>
    </xf>
    <xf numFmtId="166" fontId="19" fillId="0" borderId="9" xfId="1" applyNumberFormat="1" applyFont="1" applyBorder="1" applyAlignment="1">
      <alignment horizontal="center"/>
    </xf>
    <xf numFmtId="166" fontId="19" fillId="0" borderId="0" xfId="1" applyNumberFormat="1" applyFont="1" applyBorder="1" applyAlignment="1">
      <alignment horizontal="center"/>
    </xf>
    <xf numFmtId="166" fontId="19" fillId="0" borderId="8" xfId="1" applyNumberFormat="1" applyFont="1" applyBorder="1" applyAlignment="1">
      <alignment horizontal="center"/>
    </xf>
    <xf numFmtId="166" fontId="19" fillId="0" borderId="21" xfId="0" applyNumberFormat="1" applyFont="1" applyBorder="1" applyAlignment="1">
      <alignment horizontal="center"/>
    </xf>
    <xf numFmtId="166" fontId="19" fillId="0" borderId="19" xfId="0" applyNumberFormat="1" applyFont="1" applyBorder="1" applyAlignment="1">
      <alignment horizontal="center"/>
    </xf>
    <xf numFmtId="166" fontId="19" fillId="0" borderId="22" xfId="0" applyNumberFormat="1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167" fontId="19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11" xfId="0" quotePrefix="1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8" xfId="0" applyNumberFormat="1" applyFont="1" applyBorder="1" applyAlignment="1">
      <alignment horizontal="center"/>
    </xf>
    <xf numFmtId="0" fontId="36" fillId="0" borderId="24" xfId="0" applyFont="1" applyBorder="1" applyAlignment="1">
      <alignment horizontal="left"/>
    </xf>
    <xf numFmtId="0" fontId="36" fillId="0" borderId="9" xfId="0" applyFont="1" applyBorder="1" applyAlignment="1">
      <alignment horizontal="left"/>
    </xf>
    <xf numFmtId="0" fontId="0" fillId="0" borderId="9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166" fontId="0" fillId="0" borderId="9" xfId="0" applyNumberFormat="1" applyFont="1" applyBorder="1" applyAlignment="1">
      <alignment horizontal="center" vertical="top"/>
    </xf>
    <xf numFmtId="166" fontId="0" fillId="0" borderId="0" xfId="0" applyNumberFormat="1" applyFont="1" applyBorder="1" applyAlignment="1">
      <alignment horizontal="center" vertical="top"/>
    </xf>
    <xf numFmtId="166" fontId="0" fillId="0" borderId="8" xfId="0" applyNumberFormat="1" applyFont="1" applyBorder="1" applyAlignment="1">
      <alignment horizontal="center" vertical="top"/>
    </xf>
    <xf numFmtId="168" fontId="0" fillId="0" borderId="9" xfId="0" applyNumberFormat="1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168" fontId="0" fillId="0" borderId="8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8" fontId="0" fillId="0" borderId="0" xfId="1" applyNumberFormat="1" applyFont="1" applyBorder="1" applyAlignment="1">
      <alignment horizontal="center"/>
    </xf>
    <xf numFmtId="168" fontId="0" fillId="0" borderId="8" xfId="1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66" fontId="0" fillId="0" borderId="21" xfId="0" applyNumberFormat="1" applyFont="1" applyBorder="1" applyAlignment="1">
      <alignment horizontal="center"/>
    </xf>
    <xf numFmtId="166" fontId="0" fillId="0" borderId="19" xfId="0" applyNumberFormat="1" applyFont="1" applyBorder="1" applyAlignment="1">
      <alignment horizontal="center"/>
    </xf>
    <xf numFmtId="166" fontId="0" fillId="0" borderId="22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166" fontId="38" fillId="0" borderId="11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42" fillId="0" borderId="16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15" xfId="0" quotePrefix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quotePrefix="1" applyBorder="1" applyAlignment="1">
      <alignment horizontal="center" vertical="center"/>
    </xf>
    <xf numFmtId="0" fontId="0" fillId="0" borderId="30" xfId="0" quotePrefix="1" applyBorder="1" applyAlignment="1">
      <alignment horizontal="center" vertical="center"/>
    </xf>
    <xf numFmtId="0" fontId="1" fillId="0" borderId="9" xfId="0" applyFont="1" applyBorder="1" applyAlignment="1">
      <alignment horizontal="center" vertical="justify"/>
    </xf>
    <xf numFmtId="0" fontId="1" fillId="0" borderId="8" xfId="0" applyFont="1" applyBorder="1" applyAlignment="1">
      <alignment horizontal="center" vertical="justify"/>
    </xf>
    <xf numFmtId="0" fontId="1" fillId="0" borderId="17" xfId="0" applyFont="1" applyBorder="1" applyAlignment="1">
      <alignment horizontal="center" vertical="justify"/>
    </xf>
    <xf numFmtId="0" fontId="1" fillId="0" borderId="13" xfId="0" applyFont="1" applyBorder="1" applyAlignment="1">
      <alignment horizontal="center" vertical="justify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66" fontId="0" fillId="0" borderId="9" xfId="0" applyNumberFormat="1" applyBorder="1" applyAlignment="1">
      <alignment horizontal="center" vertical="top"/>
    </xf>
    <xf numFmtId="166" fontId="0" fillId="0" borderId="0" xfId="0" applyNumberFormat="1" applyBorder="1" applyAlignment="1">
      <alignment horizontal="center" vertical="top"/>
    </xf>
    <xf numFmtId="166" fontId="0" fillId="0" borderId="8" xfId="0" applyNumberFormat="1" applyBorder="1" applyAlignment="1">
      <alignment horizontal="center" vertical="top"/>
    </xf>
    <xf numFmtId="168" fontId="0" fillId="0" borderId="0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6" fontId="0" fillId="0" borderId="9" xfId="1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0" fillId="0" borderId="8" xfId="1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9" xfId="0" quotePrefix="1" applyBorder="1" applyAlignment="1">
      <alignment horizontal="left" wrapText="1"/>
    </xf>
    <xf numFmtId="0" fontId="0" fillId="0" borderId="0" xfId="0" quotePrefix="1" applyBorder="1" applyAlignment="1">
      <alignment horizontal="left" wrapText="1"/>
    </xf>
    <xf numFmtId="0" fontId="0" fillId="0" borderId="7" xfId="0" quotePrefix="1" applyBorder="1" applyAlignment="1">
      <alignment horizontal="left" wrapText="1"/>
    </xf>
    <xf numFmtId="166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"/>
  <sheetViews>
    <sheetView view="pageBreakPreview" zoomScale="90" zoomScaleSheetLayoutView="90" workbookViewId="0">
      <selection activeCell="N40" sqref="N40"/>
    </sheetView>
  </sheetViews>
  <sheetFormatPr defaultRowHeight="15"/>
  <cols>
    <col min="1" max="1" width="6.7109375" customWidth="1"/>
    <col min="2" max="2" width="5.7109375" customWidth="1"/>
    <col min="6" max="6" width="2.7109375" customWidth="1"/>
    <col min="7" max="7" width="8.140625" customWidth="1"/>
    <col min="8" max="8" width="5.5703125" customWidth="1"/>
    <col min="9" max="9" width="6.28515625" customWidth="1"/>
    <col min="10" max="10" width="13.7109375" customWidth="1"/>
    <col min="11" max="11" width="14.140625" customWidth="1"/>
    <col min="12" max="12" width="15.42578125" customWidth="1"/>
    <col min="13" max="14" width="15.5703125" customWidth="1"/>
    <col min="15" max="15" width="16.85546875" customWidth="1"/>
    <col min="17" max="17" width="14.28515625" customWidth="1"/>
  </cols>
  <sheetData>
    <row r="1" spans="1:15">
      <c r="A1" s="1029" t="s">
        <v>0</v>
      </c>
      <c r="B1" s="1030"/>
      <c r="C1" s="1030"/>
      <c r="D1" s="1030"/>
      <c r="E1" s="1030"/>
      <c r="F1" s="1030"/>
      <c r="G1" s="1030"/>
      <c r="H1" s="1030"/>
      <c r="I1" s="1031" t="s">
        <v>1</v>
      </c>
      <c r="J1" s="1032"/>
      <c r="K1" s="1032"/>
      <c r="L1" s="1032"/>
      <c r="M1" s="1032"/>
      <c r="N1" s="1033"/>
    </row>
    <row r="2" spans="1:15">
      <c r="A2" s="1034" t="s">
        <v>47</v>
      </c>
      <c r="B2" s="1035"/>
      <c r="C2" s="1035"/>
      <c r="D2" s="1035"/>
      <c r="E2" s="1035"/>
      <c r="F2" s="1035"/>
      <c r="G2" s="1035"/>
      <c r="H2" s="1035"/>
      <c r="I2" s="1036" t="s">
        <v>48</v>
      </c>
      <c r="J2" s="1037"/>
      <c r="K2" s="1037"/>
      <c r="L2" s="1037"/>
      <c r="M2" s="1037"/>
      <c r="N2" s="1038"/>
    </row>
    <row r="3" spans="1:15">
      <c r="A3" s="1039" t="s">
        <v>4</v>
      </c>
      <c r="B3" s="1040"/>
      <c r="C3" s="1040"/>
      <c r="D3" s="1040"/>
      <c r="E3" s="1040"/>
      <c r="F3" s="1040"/>
      <c r="G3" s="1040"/>
      <c r="H3" s="1041"/>
      <c r="I3" s="1036" t="s">
        <v>49</v>
      </c>
      <c r="J3" s="1037"/>
      <c r="K3" s="1037"/>
      <c r="L3" s="1037"/>
      <c r="M3" s="1037"/>
      <c r="N3" s="1038"/>
    </row>
    <row r="4" spans="1:15">
      <c r="A4" s="1042" t="s">
        <v>527</v>
      </c>
      <c r="B4" s="1043"/>
      <c r="C4" s="1043"/>
      <c r="D4" s="1043"/>
      <c r="E4" s="1043"/>
      <c r="F4" s="1043"/>
      <c r="G4" s="1043"/>
      <c r="H4" s="1044"/>
      <c r="I4" s="161"/>
      <c r="J4" s="154"/>
      <c r="K4" s="154"/>
      <c r="L4" s="154"/>
      <c r="M4" s="154"/>
      <c r="N4" s="217"/>
    </row>
    <row r="5" spans="1:15">
      <c r="A5" s="150" t="s">
        <v>5</v>
      </c>
      <c r="B5" s="151"/>
      <c r="C5" s="151"/>
      <c r="D5" s="151"/>
      <c r="E5" s="151" t="s">
        <v>6</v>
      </c>
      <c r="F5" s="151" t="s">
        <v>559</v>
      </c>
      <c r="G5" s="151"/>
      <c r="H5" s="151" t="s">
        <v>8</v>
      </c>
      <c r="I5" s="151"/>
      <c r="J5" s="151"/>
      <c r="K5" s="151"/>
      <c r="L5" s="151"/>
      <c r="M5" s="151"/>
      <c r="N5" s="152"/>
    </row>
    <row r="6" spans="1:15">
      <c r="A6" s="150" t="s">
        <v>9</v>
      </c>
      <c r="B6" s="151"/>
      <c r="C6" s="151"/>
      <c r="D6" s="151"/>
      <c r="E6" s="151" t="s">
        <v>6</v>
      </c>
      <c r="F6" s="151" t="s">
        <v>652</v>
      </c>
      <c r="G6" s="151"/>
      <c r="H6" s="151" t="s">
        <v>11</v>
      </c>
      <c r="I6" s="151"/>
      <c r="J6" s="151"/>
      <c r="K6" s="151"/>
      <c r="L6" s="151"/>
      <c r="M6" s="151"/>
      <c r="N6" s="152"/>
    </row>
    <row r="7" spans="1:15">
      <c r="A7" s="1045" t="s">
        <v>50</v>
      </c>
      <c r="B7" s="1046"/>
      <c r="C7" s="1046"/>
      <c r="D7" s="1046"/>
      <c r="E7" s="1046"/>
      <c r="F7" s="1046"/>
      <c r="G7" s="1046"/>
      <c r="H7" s="1046"/>
      <c r="I7" s="1046"/>
      <c r="J7" s="1046"/>
      <c r="K7" s="1046"/>
      <c r="L7" s="1046"/>
      <c r="M7" s="1046"/>
      <c r="N7" s="1047"/>
    </row>
    <row r="8" spans="1:15">
      <c r="A8" s="1048" t="s">
        <v>51</v>
      </c>
      <c r="B8" s="1049"/>
      <c r="C8" s="1049"/>
      <c r="D8" s="1049"/>
      <c r="E8" s="1049"/>
      <c r="F8" s="1049"/>
      <c r="G8" s="1049"/>
      <c r="H8" s="1049"/>
      <c r="I8" s="1049"/>
      <c r="J8" s="1049"/>
      <c r="K8" s="1049"/>
      <c r="L8" s="1049"/>
      <c r="M8" s="1049"/>
      <c r="N8" s="1050"/>
    </row>
    <row r="9" spans="1:15">
      <c r="A9" s="1051" t="s">
        <v>52</v>
      </c>
      <c r="B9" s="1052"/>
      <c r="C9" s="1053" t="s">
        <v>14</v>
      </c>
      <c r="D9" s="1040"/>
      <c r="E9" s="1040"/>
      <c r="F9" s="1041"/>
      <c r="G9" s="163" t="s">
        <v>53</v>
      </c>
      <c r="H9" s="163" t="s">
        <v>54</v>
      </c>
      <c r="I9" s="163" t="s">
        <v>55</v>
      </c>
      <c r="J9" s="1054" t="s">
        <v>56</v>
      </c>
      <c r="K9" s="1055"/>
      <c r="L9" s="1055"/>
      <c r="M9" s="1052"/>
      <c r="N9" s="218" t="s">
        <v>15</v>
      </c>
    </row>
    <row r="10" spans="1:15">
      <c r="A10" s="219" t="s">
        <v>57</v>
      </c>
      <c r="B10" s="163" t="s">
        <v>58</v>
      </c>
      <c r="C10" s="155"/>
      <c r="D10" s="151"/>
      <c r="E10" s="151"/>
      <c r="F10" s="156"/>
      <c r="G10" s="165"/>
      <c r="H10" s="166" t="s">
        <v>59</v>
      </c>
      <c r="I10" s="166" t="s">
        <v>60</v>
      </c>
      <c r="J10" s="424" t="s">
        <v>32</v>
      </c>
      <c r="K10" s="422" t="s">
        <v>33</v>
      </c>
      <c r="L10" s="424" t="s">
        <v>34</v>
      </c>
      <c r="M10" s="424" t="s">
        <v>35</v>
      </c>
      <c r="N10" s="220" t="s">
        <v>61</v>
      </c>
    </row>
    <row r="11" spans="1:15">
      <c r="A11" s="221"/>
      <c r="B11" s="167"/>
      <c r="C11" s="161"/>
      <c r="D11" s="154"/>
      <c r="E11" s="154"/>
      <c r="F11" s="162"/>
      <c r="G11" s="167"/>
      <c r="H11" s="167" t="s">
        <v>62</v>
      </c>
      <c r="I11" s="167"/>
      <c r="J11" s="161"/>
      <c r="K11" s="161"/>
      <c r="L11" s="161"/>
      <c r="M11" s="161"/>
      <c r="N11" s="222"/>
    </row>
    <row r="12" spans="1:15">
      <c r="A12" s="223">
        <v>1</v>
      </c>
      <c r="B12" s="425">
        <v>2</v>
      </c>
      <c r="C12" s="1054">
        <v>3</v>
      </c>
      <c r="D12" s="1055"/>
      <c r="E12" s="1055"/>
      <c r="F12" s="1052"/>
      <c r="G12" s="168">
        <v>4</v>
      </c>
      <c r="H12" s="425">
        <v>5</v>
      </c>
      <c r="I12" s="168">
        <v>6</v>
      </c>
      <c r="J12" s="425">
        <v>7</v>
      </c>
      <c r="K12" s="168">
        <v>8</v>
      </c>
      <c r="L12" s="425">
        <v>9</v>
      </c>
      <c r="M12" s="168">
        <v>10</v>
      </c>
      <c r="N12" s="224">
        <v>11</v>
      </c>
    </row>
    <row r="13" spans="1:15" ht="12.75" customHeight="1">
      <c r="A13" s="150"/>
      <c r="B13" s="164"/>
      <c r="C13" s="151"/>
      <c r="D13" s="151"/>
      <c r="E13" s="151"/>
      <c r="F13" s="151"/>
      <c r="G13" s="164"/>
      <c r="H13" s="151"/>
      <c r="I13" s="164"/>
      <c r="J13" s="151"/>
      <c r="K13" s="165"/>
      <c r="L13" s="151"/>
      <c r="M13" s="165"/>
      <c r="N13" s="152"/>
    </row>
    <row r="14" spans="1:15" ht="24.75" customHeight="1">
      <c r="A14" s="225" t="s">
        <v>63</v>
      </c>
      <c r="B14" s="171"/>
      <c r="C14" s="1057" t="s">
        <v>64</v>
      </c>
      <c r="D14" s="1057"/>
      <c r="E14" s="1057"/>
      <c r="F14" s="1057"/>
      <c r="G14" s="171"/>
      <c r="H14" s="168"/>
      <c r="I14" s="168"/>
      <c r="J14" s="176">
        <f>SUM(J15:J27)</f>
        <v>90093000</v>
      </c>
      <c r="K14" s="176">
        <f>SUM(K15:K27)</f>
        <v>92564000</v>
      </c>
      <c r="L14" s="176">
        <f>SUM(L15:L27)</f>
        <v>72429350</v>
      </c>
      <c r="M14" s="176">
        <f>SUM(M15:M27)</f>
        <v>60228650</v>
      </c>
      <c r="N14" s="226">
        <f>J14+K14+L14+M14</f>
        <v>315315000</v>
      </c>
      <c r="O14" s="78"/>
    </row>
    <row r="15" spans="1:15">
      <c r="A15" s="180"/>
      <c r="B15" s="170" t="s">
        <v>65</v>
      </c>
      <c r="C15" s="1058" t="s">
        <v>66</v>
      </c>
      <c r="D15" s="1059"/>
      <c r="E15" s="1059"/>
      <c r="F15" s="1060"/>
      <c r="G15" s="171" t="s">
        <v>67</v>
      </c>
      <c r="H15" s="172">
        <v>1</v>
      </c>
      <c r="I15" s="168" t="s">
        <v>68</v>
      </c>
      <c r="J15" s="177">
        <v>363000</v>
      </c>
      <c r="K15" s="177">
        <v>324000</v>
      </c>
      <c r="L15" s="177">
        <v>276000</v>
      </c>
      <c r="M15" s="177">
        <v>219000</v>
      </c>
      <c r="N15" s="181">
        <f>J15+K15+L15+M15</f>
        <v>1182000</v>
      </c>
      <c r="O15" s="78"/>
    </row>
    <row r="16" spans="1:15" ht="21.75" customHeight="1">
      <c r="A16" s="180"/>
      <c r="B16" s="173" t="s">
        <v>69</v>
      </c>
      <c r="C16" s="1061" t="s">
        <v>445</v>
      </c>
      <c r="D16" s="1061"/>
      <c r="E16" s="1061"/>
      <c r="F16" s="1061"/>
      <c r="G16" s="171" t="s">
        <v>67</v>
      </c>
      <c r="H16" s="172">
        <v>1</v>
      </c>
      <c r="I16" s="168" t="s">
        <v>68</v>
      </c>
      <c r="J16" s="177">
        <v>12000000</v>
      </c>
      <c r="K16" s="177">
        <v>12000000</v>
      </c>
      <c r="L16" s="177">
        <v>9175000</v>
      </c>
      <c r="M16" s="177">
        <v>9175000</v>
      </c>
      <c r="N16" s="181">
        <f t="shared" ref="N16:N27" si="0">J16+K16+L16+M16</f>
        <v>42350000</v>
      </c>
      <c r="O16" s="78"/>
    </row>
    <row r="17" spans="1:17" ht="15" customHeight="1">
      <c r="A17" s="180"/>
      <c r="B17" s="173" t="s">
        <v>70</v>
      </c>
      <c r="C17" s="1056" t="s">
        <v>71</v>
      </c>
      <c r="D17" s="1056"/>
      <c r="E17" s="1056"/>
      <c r="F17" s="1056"/>
      <c r="G17" s="171" t="s">
        <v>67</v>
      </c>
      <c r="H17" s="172">
        <v>1</v>
      </c>
      <c r="I17" s="168" t="s">
        <v>68</v>
      </c>
      <c r="J17" s="177">
        <v>11775000</v>
      </c>
      <c r="K17" s="177">
        <v>11775000</v>
      </c>
      <c r="L17" s="177">
        <v>11775000</v>
      </c>
      <c r="M17" s="177">
        <v>4675000</v>
      </c>
      <c r="N17" s="181">
        <f t="shared" si="0"/>
        <v>40000000</v>
      </c>
      <c r="O17" s="78"/>
    </row>
    <row r="18" spans="1:17">
      <c r="A18" s="180"/>
      <c r="B18" s="170" t="s">
        <v>72</v>
      </c>
      <c r="C18" s="1062" t="s">
        <v>73</v>
      </c>
      <c r="D18" s="1063"/>
      <c r="E18" s="1063"/>
      <c r="F18" s="1064"/>
      <c r="G18" s="171" t="s">
        <v>67</v>
      </c>
      <c r="H18" s="172">
        <v>1</v>
      </c>
      <c r="I18" s="168" t="s">
        <v>68</v>
      </c>
      <c r="J18" s="177">
        <v>4200000</v>
      </c>
      <c r="K18" s="177">
        <v>4000000</v>
      </c>
      <c r="L18" s="177">
        <v>3300000</v>
      </c>
      <c r="M18" s="177">
        <v>3256300</v>
      </c>
      <c r="N18" s="181">
        <f t="shared" si="0"/>
        <v>14756300</v>
      </c>
      <c r="O18" s="78"/>
    </row>
    <row r="19" spans="1:17" ht="15" customHeight="1">
      <c r="A19" s="180"/>
      <c r="B19" s="173" t="s">
        <v>74</v>
      </c>
      <c r="C19" s="1056" t="s">
        <v>75</v>
      </c>
      <c r="D19" s="1056"/>
      <c r="E19" s="1056"/>
      <c r="F19" s="1056"/>
      <c r="G19" s="171" t="s">
        <v>67</v>
      </c>
      <c r="H19" s="174">
        <v>1</v>
      </c>
      <c r="I19" s="175" t="s">
        <v>68</v>
      </c>
      <c r="J19" s="178">
        <v>4000000</v>
      </c>
      <c r="K19" s="178">
        <v>3500000</v>
      </c>
      <c r="L19" s="178">
        <v>3759850</v>
      </c>
      <c r="M19" s="178">
        <v>3759850</v>
      </c>
      <c r="N19" s="181">
        <f t="shared" si="0"/>
        <v>15019700</v>
      </c>
      <c r="O19" s="78"/>
    </row>
    <row r="20" spans="1:17" ht="15" customHeight="1">
      <c r="A20" s="180"/>
      <c r="B20" s="173" t="s">
        <v>76</v>
      </c>
      <c r="C20" s="1061" t="s">
        <v>77</v>
      </c>
      <c r="D20" s="1061"/>
      <c r="E20" s="1061"/>
      <c r="F20" s="1061"/>
      <c r="G20" s="171" t="s">
        <v>67</v>
      </c>
      <c r="H20" s="172">
        <v>1</v>
      </c>
      <c r="I20" s="168" t="s">
        <v>68</v>
      </c>
      <c r="J20" s="177">
        <v>1000000</v>
      </c>
      <c r="K20" s="177">
        <v>1000000</v>
      </c>
      <c r="L20" s="177">
        <v>668500</v>
      </c>
      <c r="M20" s="177">
        <v>668500</v>
      </c>
      <c r="N20" s="181">
        <f>J20+K20+L20+M20</f>
        <v>3337000</v>
      </c>
      <c r="O20" s="78"/>
      <c r="Q20">
        <f>1337000/2</f>
        <v>668500</v>
      </c>
    </row>
    <row r="21" spans="1:17" ht="25.5" customHeight="1">
      <c r="A21" s="180"/>
      <c r="B21" s="173" t="s">
        <v>78</v>
      </c>
      <c r="C21" s="1056" t="s">
        <v>79</v>
      </c>
      <c r="D21" s="1056"/>
      <c r="E21" s="1056"/>
      <c r="F21" s="1056"/>
      <c r="G21" s="171" t="s">
        <v>67</v>
      </c>
      <c r="H21" s="172">
        <v>1</v>
      </c>
      <c r="I21" s="168" t="s">
        <v>68</v>
      </c>
      <c r="J21" s="177">
        <v>3000000</v>
      </c>
      <c r="K21" s="177">
        <v>3000000</v>
      </c>
      <c r="L21" s="177">
        <v>2360000</v>
      </c>
      <c r="M21" s="177">
        <v>2360000</v>
      </c>
      <c r="N21" s="181">
        <f t="shared" si="0"/>
        <v>10720000</v>
      </c>
      <c r="O21" s="78"/>
    </row>
    <row r="22" spans="1:17" ht="21.75" customHeight="1">
      <c r="A22" s="180"/>
      <c r="B22" s="173" t="s">
        <v>80</v>
      </c>
      <c r="C22" s="1061" t="s">
        <v>81</v>
      </c>
      <c r="D22" s="1061"/>
      <c r="E22" s="1061"/>
      <c r="F22" s="1061"/>
      <c r="G22" s="171" t="s">
        <v>67</v>
      </c>
      <c r="H22" s="174">
        <v>1</v>
      </c>
      <c r="I22" s="175" t="s">
        <v>68</v>
      </c>
      <c r="J22" s="178">
        <v>945000</v>
      </c>
      <c r="K22" s="178">
        <v>945000</v>
      </c>
      <c r="L22" s="178">
        <v>945000</v>
      </c>
      <c r="M22" s="178">
        <v>945000</v>
      </c>
      <c r="N22" s="181">
        <f t="shared" si="0"/>
        <v>3780000</v>
      </c>
      <c r="O22" s="78"/>
    </row>
    <row r="23" spans="1:17">
      <c r="A23" s="180"/>
      <c r="B23" s="170" t="s">
        <v>82</v>
      </c>
      <c r="C23" s="1058" t="s">
        <v>83</v>
      </c>
      <c r="D23" s="1059"/>
      <c r="E23" s="1059"/>
      <c r="F23" s="1060"/>
      <c r="G23" s="171" t="s">
        <v>67</v>
      </c>
      <c r="H23" s="172">
        <v>1</v>
      </c>
      <c r="I23" s="168" t="s">
        <v>68</v>
      </c>
      <c r="J23" s="177">
        <v>3000000</v>
      </c>
      <c r="K23" s="177">
        <v>3000000</v>
      </c>
      <c r="L23" s="177">
        <v>2500000</v>
      </c>
      <c r="M23" s="177">
        <v>2500000</v>
      </c>
      <c r="N23" s="181">
        <f t="shared" si="0"/>
        <v>11000000</v>
      </c>
      <c r="O23" s="78"/>
    </row>
    <row r="24" spans="1:17" ht="21" customHeight="1">
      <c r="A24" s="180"/>
      <c r="B24" s="173" t="s">
        <v>84</v>
      </c>
      <c r="C24" s="1056" t="s">
        <v>85</v>
      </c>
      <c r="D24" s="1056"/>
      <c r="E24" s="1056"/>
      <c r="F24" s="1056"/>
      <c r="G24" s="171" t="s">
        <v>67</v>
      </c>
      <c r="H24" s="172">
        <v>1</v>
      </c>
      <c r="I24" s="168" t="s">
        <v>68</v>
      </c>
      <c r="J24" s="177">
        <v>40000000</v>
      </c>
      <c r="K24" s="177">
        <v>40000000</v>
      </c>
      <c r="L24" s="177">
        <v>25000000</v>
      </c>
      <c r="M24" s="177">
        <v>20000000</v>
      </c>
      <c r="N24" s="181">
        <f t="shared" si="0"/>
        <v>125000000</v>
      </c>
      <c r="O24" s="78"/>
    </row>
    <row r="25" spans="1:17" ht="21" customHeight="1">
      <c r="A25" s="180"/>
      <c r="B25" s="173" t="s">
        <v>86</v>
      </c>
      <c r="C25" s="1056" t="s">
        <v>87</v>
      </c>
      <c r="D25" s="1056"/>
      <c r="E25" s="1056"/>
      <c r="F25" s="1056"/>
      <c r="G25" s="171" t="s">
        <v>67</v>
      </c>
      <c r="H25" s="172">
        <v>1</v>
      </c>
      <c r="I25" s="168" t="s">
        <v>68</v>
      </c>
      <c r="J25" s="177">
        <v>3000000</v>
      </c>
      <c r="K25" s="177">
        <v>3000000</v>
      </c>
      <c r="L25" s="177">
        <v>2650000</v>
      </c>
      <c r="M25" s="177">
        <v>2650000</v>
      </c>
      <c r="N25" s="181">
        <f t="shared" si="0"/>
        <v>11300000</v>
      </c>
      <c r="O25" s="78"/>
    </row>
    <row r="26" spans="1:17" ht="15" customHeight="1">
      <c r="A26" s="180"/>
      <c r="B26" s="173" t="s">
        <v>88</v>
      </c>
      <c r="C26" s="1056" t="s">
        <v>89</v>
      </c>
      <c r="D26" s="1056"/>
      <c r="E26" s="1056"/>
      <c r="F26" s="1056"/>
      <c r="G26" s="171" t="s">
        <v>67</v>
      </c>
      <c r="H26" s="174">
        <v>1</v>
      </c>
      <c r="I26" s="175" t="s">
        <v>68</v>
      </c>
      <c r="J26" s="178">
        <v>6810000</v>
      </c>
      <c r="K26" s="178">
        <v>6810000</v>
      </c>
      <c r="L26" s="178">
        <v>6810000</v>
      </c>
      <c r="M26" s="178">
        <v>6810000</v>
      </c>
      <c r="N26" s="181">
        <f t="shared" si="0"/>
        <v>27240000</v>
      </c>
      <c r="O26" s="78"/>
    </row>
    <row r="27" spans="1:17" ht="23.25" customHeight="1">
      <c r="A27" s="180"/>
      <c r="B27" s="173" t="s">
        <v>90</v>
      </c>
      <c r="C27" s="1068" t="s">
        <v>91</v>
      </c>
      <c r="D27" s="1069"/>
      <c r="E27" s="1069"/>
      <c r="F27" s="1070"/>
      <c r="G27" s="171" t="s">
        <v>67</v>
      </c>
      <c r="H27" s="172">
        <v>1</v>
      </c>
      <c r="I27" s="168" t="s">
        <v>68</v>
      </c>
      <c r="J27" s="177">
        <v>0</v>
      </c>
      <c r="K27" s="177">
        <v>3210000</v>
      </c>
      <c r="L27" s="177">
        <f>K27</f>
        <v>3210000</v>
      </c>
      <c r="M27" s="177">
        <f>L27</f>
        <v>3210000</v>
      </c>
      <c r="N27" s="181">
        <f t="shared" si="0"/>
        <v>9630000</v>
      </c>
      <c r="O27" s="78"/>
    </row>
    <row r="28" spans="1:17" ht="26.25" customHeight="1">
      <c r="A28" s="225" t="s">
        <v>92</v>
      </c>
      <c r="B28" s="171"/>
      <c r="C28" s="1057" t="s">
        <v>93</v>
      </c>
      <c r="D28" s="1057"/>
      <c r="E28" s="1057"/>
      <c r="F28" s="1057"/>
      <c r="G28" s="171"/>
      <c r="H28" s="168"/>
      <c r="I28" s="168"/>
      <c r="J28" s="176">
        <f>J29+J30+J31+J32</f>
        <v>37955000</v>
      </c>
      <c r="K28" s="176">
        <f>K29+K30+K31+K32</f>
        <v>32455000</v>
      </c>
      <c r="L28" s="176">
        <f>L29+L30+L31+L32</f>
        <v>34692500</v>
      </c>
      <c r="M28" s="176">
        <f>M29+M30+M31+M32</f>
        <v>34192500</v>
      </c>
      <c r="N28" s="226">
        <f>N29+N30+N31+N32</f>
        <v>139295000</v>
      </c>
      <c r="O28" s="78"/>
    </row>
    <row r="29" spans="1:17" ht="15" customHeight="1">
      <c r="A29" s="180"/>
      <c r="B29" s="173" t="s">
        <v>94</v>
      </c>
      <c r="C29" s="1056" t="s">
        <v>95</v>
      </c>
      <c r="D29" s="1056"/>
      <c r="E29" s="1056"/>
      <c r="F29" s="1056"/>
      <c r="G29" s="171" t="s">
        <v>67</v>
      </c>
      <c r="H29" s="174">
        <v>1</v>
      </c>
      <c r="I29" s="175" t="s">
        <v>68</v>
      </c>
      <c r="J29" s="178">
        <v>19955000</v>
      </c>
      <c r="K29" s="178">
        <v>19955000</v>
      </c>
      <c r="L29" s="178">
        <f>K29</f>
        <v>19955000</v>
      </c>
      <c r="M29" s="178">
        <f>L29</f>
        <v>19955000</v>
      </c>
      <c r="N29" s="227">
        <f>J29+K29+L29+M29</f>
        <v>79820000</v>
      </c>
      <c r="O29" s="78"/>
    </row>
    <row r="30" spans="1:17" ht="21.75" customHeight="1">
      <c r="A30" s="180"/>
      <c r="B30" s="173" t="s">
        <v>96</v>
      </c>
      <c r="C30" s="1061" t="s">
        <v>97</v>
      </c>
      <c r="D30" s="1061"/>
      <c r="E30" s="1061"/>
      <c r="F30" s="1061"/>
      <c r="G30" s="171" t="s">
        <v>67</v>
      </c>
      <c r="H30" s="174">
        <v>1</v>
      </c>
      <c r="I30" s="175" t="s">
        <v>68</v>
      </c>
      <c r="J30" s="178">
        <v>15000000</v>
      </c>
      <c r="K30" s="178">
        <v>10000000</v>
      </c>
      <c r="L30" s="178">
        <v>12475000</v>
      </c>
      <c r="M30" s="178">
        <v>12475000</v>
      </c>
      <c r="N30" s="227">
        <f>J30+K30+L30+M30</f>
        <v>49950000</v>
      </c>
      <c r="O30" s="78"/>
    </row>
    <row r="31" spans="1:17" ht="15" customHeight="1">
      <c r="A31" s="180"/>
      <c r="B31" s="173" t="s">
        <v>98</v>
      </c>
      <c r="C31" s="1056" t="s">
        <v>99</v>
      </c>
      <c r="D31" s="1056"/>
      <c r="E31" s="1056"/>
      <c r="F31" s="1056"/>
      <c r="G31" s="171" t="s">
        <v>67</v>
      </c>
      <c r="H31" s="174">
        <v>1</v>
      </c>
      <c r="I31" s="175" t="s">
        <v>68</v>
      </c>
      <c r="J31" s="178">
        <v>2000000</v>
      </c>
      <c r="K31" s="178">
        <v>1500000</v>
      </c>
      <c r="L31" s="178">
        <v>1762500</v>
      </c>
      <c r="M31" s="178">
        <v>1762500</v>
      </c>
      <c r="N31" s="227">
        <f>J31+K31+L31+M31</f>
        <v>7025000</v>
      </c>
      <c r="O31" s="78"/>
    </row>
    <row r="32" spans="1:17" ht="24.75" customHeight="1">
      <c r="A32" s="180"/>
      <c r="B32" s="173" t="s">
        <v>100</v>
      </c>
      <c r="C32" s="1056" t="s">
        <v>101</v>
      </c>
      <c r="D32" s="1056"/>
      <c r="E32" s="1056"/>
      <c r="F32" s="1056"/>
      <c r="G32" s="171" t="s">
        <v>67</v>
      </c>
      <c r="H32" s="174">
        <v>1</v>
      </c>
      <c r="I32" s="175" t="s">
        <v>68</v>
      </c>
      <c r="J32" s="178">
        <v>1000000</v>
      </c>
      <c r="K32" s="178">
        <v>1000000</v>
      </c>
      <c r="L32" s="178">
        <v>500000</v>
      </c>
      <c r="M32" s="178">
        <v>0</v>
      </c>
      <c r="N32" s="227">
        <f>J32+K32+L32+M32</f>
        <v>2500000</v>
      </c>
      <c r="O32" s="78"/>
    </row>
    <row r="33" spans="1:15" ht="24.75" customHeight="1">
      <c r="A33" s="408" t="s">
        <v>842</v>
      </c>
      <c r="B33" s="342"/>
      <c r="C33" s="1071" t="s">
        <v>102</v>
      </c>
      <c r="D33" s="1072"/>
      <c r="E33" s="1072"/>
      <c r="F33" s="1073"/>
      <c r="G33" s="171"/>
      <c r="H33" s="174"/>
      <c r="I33" s="175"/>
      <c r="J33" s="368">
        <f>SUM(J34:J39)</f>
        <v>260000000</v>
      </c>
      <c r="K33" s="368">
        <f>SUM(K34:K39)</f>
        <v>995000000</v>
      </c>
      <c r="L33" s="368">
        <f>SUM(L34:L39)</f>
        <v>1170000000</v>
      </c>
      <c r="M33" s="368">
        <f>SUM(M34:M39)</f>
        <v>125000000</v>
      </c>
      <c r="N33" s="368">
        <f>SUM(N34:N39)</f>
        <v>2550000000</v>
      </c>
      <c r="O33" s="78"/>
    </row>
    <row r="34" spans="1:15" ht="24.75" customHeight="1">
      <c r="A34" s="221"/>
      <c r="B34" s="342" t="s">
        <v>755</v>
      </c>
      <c r="C34" s="1065" t="s">
        <v>515</v>
      </c>
      <c r="D34" s="1066"/>
      <c r="E34" s="1066"/>
      <c r="F34" s="1067"/>
      <c r="G34" s="171" t="s">
        <v>67</v>
      </c>
      <c r="H34" s="174">
        <v>1</v>
      </c>
      <c r="I34" s="175" t="s">
        <v>68</v>
      </c>
      <c r="J34" s="343">
        <v>125000000</v>
      </c>
      <c r="K34" s="343">
        <v>25000000</v>
      </c>
      <c r="L34" s="343">
        <v>0</v>
      </c>
      <c r="M34" s="343">
        <v>0</v>
      </c>
      <c r="N34" s="344">
        <f t="shared" ref="N34:N39" si="1">SUM(J34:M34)</f>
        <v>150000000</v>
      </c>
      <c r="O34" s="78"/>
    </row>
    <row r="35" spans="1:15" ht="24.75" customHeight="1">
      <c r="A35" s="221"/>
      <c r="B35" s="342" t="s">
        <v>756</v>
      </c>
      <c r="C35" s="1074" t="s">
        <v>758</v>
      </c>
      <c r="D35" s="1075"/>
      <c r="E35" s="1075"/>
      <c r="F35" s="1076"/>
      <c r="G35" s="171" t="s">
        <v>67</v>
      </c>
      <c r="H35" s="174">
        <v>1</v>
      </c>
      <c r="I35" s="175" t="s">
        <v>68</v>
      </c>
      <c r="J35" s="343">
        <v>50000000</v>
      </c>
      <c r="K35" s="343">
        <v>50000000</v>
      </c>
      <c r="L35" s="343">
        <v>0</v>
      </c>
      <c r="M35" s="343">
        <v>0</v>
      </c>
      <c r="N35" s="344">
        <f t="shared" si="1"/>
        <v>100000000</v>
      </c>
      <c r="O35" s="78"/>
    </row>
    <row r="36" spans="1:15" ht="24.75" customHeight="1">
      <c r="A36" s="221"/>
      <c r="B36" s="342" t="s">
        <v>757</v>
      </c>
      <c r="C36" s="1065" t="s">
        <v>655</v>
      </c>
      <c r="D36" s="1066"/>
      <c r="E36" s="1066"/>
      <c r="F36" s="1067"/>
      <c r="G36" s="171" t="s">
        <v>67</v>
      </c>
      <c r="H36" s="174">
        <v>1</v>
      </c>
      <c r="I36" s="175" t="s">
        <v>68</v>
      </c>
      <c r="J36" s="343">
        <v>40000000</v>
      </c>
      <c r="K36" s="343">
        <v>55000000</v>
      </c>
      <c r="L36" s="343">
        <v>5000000</v>
      </c>
      <c r="M36" s="343">
        <v>0</v>
      </c>
      <c r="N36" s="344">
        <f t="shared" si="1"/>
        <v>100000000</v>
      </c>
      <c r="O36" s="78"/>
    </row>
    <row r="37" spans="1:15" ht="24.75" customHeight="1">
      <c r="A37" s="221"/>
      <c r="B37" s="342" t="s">
        <v>760</v>
      </c>
      <c r="C37" s="1065" t="s">
        <v>759</v>
      </c>
      <c r="D37" s="1066"/>
      <c r="E37" s="1066"/>
      <c r="F37" s="1067"/>
      <c r="G37" s="171" t="s">
        <v>67</v>
      </c>
      <c r="H37" s="174">
        <v>1</v>
      </c>
      <c r="I37" s="175" t="s">
        <v>68</v>
      </c>
      <c r="J37" s="343">
        <v>25000000</v>
      </c>
      <c r="K37" s="343">
        <v>25000000</v>
      </c>
      <c r="L37" s="343">
        <v>25000000</v>
      </c>
      <c r="M37" s="343">
        <v>25000000</v>
      </c>
      <c r="N37" s="344">
        <f t="shared" si="1"/>
        <v>100000000</v>
      </c>
      <c r="O37" s="78"/>
    </row>
    <row r="38" spans="1:15" ht="24.75" customHeight="1">
      <c r="A38" s="221"/>
      <c r="B38" s="342" t="s">
        <v>761</v>
      </c>
      <c r="C38" s="1065" t="s">
        <v>763</v>
      </c>
      <c r="D38" s="1066"/>
      <c r="E38" s="1066"/>
      <c r="F38" s="1067"/>
      <c r="G38" s="171" t="s">
        <v>67</v>
      </c>
      <c r="H38" s="174">
        <v>1</v>
      </c>
      <c r="I38" s="175" t="s">
        <v>68</v>
      </c>
      <c r="J38" s="343">
        <v>20000000</v>
      </c>
      <c r="K38" s="343">
        <v>40000000</v>
      </c>
      <c r="L38" s="343">
        <f>K38</f>
        <v>40000000</v>
      </c>
      <c r="M38" s="343">
        <v>0</v>
      </c>
      <c r="N38" s="344">
        <f t="shared" si="1"/>
        <v>100000000</v>
      </c>
      <c r="O38" s="78"/>
    </row>
    <row r="39" spans="1:15" ht="24.75" customHeight="1">
      <c r="A39" s="221"/>
      <c r="B39" s="342" t="s">
        <v>762</v>
      </c>
      <c r="C39" s="1065" t="s">
        <v>764</v>
      </c>
      <c r="D39" s="1066"/>
      <c r="E39" s="1066"/>
      <c r="F39" s="1067"/>
      <c r="G39" s="171" t="s">
        <v>67</v>
      </c>
      <c r="H39" s="174">
        <v>1</v>
      </c>
      <c r="I39" s="175" t="s">
        <v>68</v>
      </c>
      <c r="J39" s="343">
        <v>0</v>
      </c>
      <c r="K39" s="343">
        <v>800000000</v>
      </c>
      <c r="L39" s="343">
        <v>1100000000</v>
      </c>
      <c r="M39" s="343">
        <v>100000000</v>
      </c>
      <c r="N39" s="344">
        <f t="shared" si="1"/>
        <v>2000000000</v>
      </c>
      <c r="O39" s="78"/>
    </row>
    <row r="40" spans="1:15">
      <c r="A40" s="228" t="s">
        <v>841</v>
      </c>
      <c r="B40" s="342"/>
      <c r="C40" s="1071" t="s">
        <v>658</v>
      </c>
      <c r="D40" s="1072"/>
      <c r="E40" s="1072"/>
      <c r="F40" s="1073"/>
      <c r="G40" s="365"/>
      <c r="H40" s="366"/>
      <c r="I40" s="367"/>
      <c r="J40" s="368">
        <f>SUM(J41:J46)</f>
        <v>100000000</v>
      </c>
      <c r="K40" s="368">
        <f>SUM(K41:K46)</f>
        <v>600000000</v>
      </c>
      <c r="L40" s="368">
        <f>SUM(L41:L46)</f>
        <v>25000000</v>
      </c>
      <c r="M40" s="368">
        <f>SUM(M41:M46)</f>
        <v>0</v>
      </c>
      <c r="N40" s="369">
        <f>N41+N42+N44++N45+N46+N43</f>
        <v>725000000</v>
      </c>
      <c r="O40" s="78"/>
    </row>
    <row r="41" spans="1:15" ht="21.75" customHeight="1">
      <c r="A41" s="221"/>
      <c r="B41" s="342" t="s">
        <v>659</v>
      </c>
      <c r="C41" s="1065" t="s">
        <v>660</v>
      </c>
      <c r="D41" s="1066"/>
      <c r="E41" s="1066"/>
      <c r="F41" s="1067"/>
      <c r="G41" s="171" t="s">
        <v>67</v>
      </c>
      <c r="H41" s="174">
        <v>1</v>
      </c>
      <c r="I41" s="175" t="s">
        <v>68</v>
      </c>
      <c r="J41" s="343">
        <v>0</v>
      </c>
      <c r="K41" s="343">
        <v>50000000</v>
      </c>
      <c r="L41" s="343">
        <v>0</v>
      </c>
      <c r="M41" s="343">
        <v>0</v>
      </c>
      <c r="N41" s="344">
        <f t="shared" ref="N41:N46" si="2">J41+K41+L41+M41</f>
        <v>50000000</v>
      </c>
      <c r="O41" s="78"/>
    </row>
    <row r="42" spans="1:15" ht="27.75" customHeight="1">
      <c r="A42" s="221"/>
      <c r="B42" s="342" t="s">
        <v>653</v>
      </c>
      <c r="C42" s="1065" t="s">
        <v>661</v>
      </c>
      <c r="D42" s="1066"/>
      <c r="E42" s="1066"/>
      <c r="F42" s="1067"/>
      <c r="G42" s="171" t="s">
        <v>67</v>
      </c>
      <c r="H42" s="174">
        <v>1</v>
      </c>
      <c r="I42" s="175" t="s">
        <v>68</v>
      </c>
      <c r="J42" s="343">
        <v>0</v>
      </c>
      <c r="K42" s="343">
        <v>200000000</v>
      </c>
      <c r="L42" s="343">
        <v>0</v>
      </c>
      <c r="M42" s="343">
        <v>0</v>
      </c>
      <c r="N42" s="344">
        <f t="shared" si="2"/>
        <v>200000000</v>
      </c>
      <c r="O42" s="78"/>
    </row>
    <row r="43" spans="1:15" ht="24" customHeight="1">
      <c r="A43" s="221"/>
      <c r="B43" s="342" t="s">
        <v>514</v>
      </c>
      <c r="C43" s="1065" t="s">
        <v>662</v>
      </c>
      <c r="D43" s="1066"/>
      <c r="E43" s="1066"/>
      <c r="F43" s="1067"/>
      <c r="G43" s="171" t="s">
        <v>67</v>
      </c>
      <c r="H43" s="174">
        <v>1</v>
      </c>
      <c r="I43" s="175" t="s">
        <v>68</v>
      </c>
      <c r="J43" s="343">
        <v>0</v>
      </c>
      <c r="K43" s="343">
        <v>0</v>
      </c>
      <c r="L43" s="343">
        <v>25000000</v>
      </c>
      <c r="M43" s="343">
        <v>0</v>
      </c>
      <c r="N43" s="344">
        <f t="shared" si="2"/>
        <v>25000000</v>
      </c>
      <c r="O43" s="78"/>
    </row>
    <row r="44" spans="1:15" ht="22.5" customHeight="1">
      <c r="A44" s="221"/>
      <c r="B44" s="342" t="s">
        <v>654</v>
      </c>
      <c r="C44" s="1065" t="s">
        <v>663</v>
      </c>
      <c r="D44" s="1066"/>
      <c r="E44" s="1066"/>
      <c r="F44" s="1067"/>
      <c r="G44" s="171" t="s">
        <v>67</v>
      </c>
      <c r="H44" s="174">
        <v>1</v>
      </c>
      <c r="I44" s="175" t="s">
        <v>68</v>
      </c>
      <c r="J44" s="343">
        <v>100000000</v>
      </c>
      <c r="K44" s="343">
        <v>0</v>
      </c>
      <c r="L44" s="343">
        <v>0</v>
      </c>
      <c r="M44" s="343">
        <v>0</v>
      </c>
      <c r="N44" s="344">
        <f t="shared" si="2"/>
        <v>100000000</v>
      </c>
      <c r="O44" s="78"/>
    </row>
    <row r="45" spans="1:15" ht="22.5" customHeight="1">
      <c r="A45" s="221"/>
      <c r="B45" s="342" t="s">
        <v>656</v>
      </c>
      <c r="C45" s="1065" t="s">
        <v>664</v>
      </c>
      <c r="D45" s="1066"/>
      <c r="E45" s="1066"/>
      <c r="F45" s="1067"/>
      <c r="G45" s="171" t="s">
        <v>67</v>
      </c>
      <c r="H45" s="174">
        <v>1</v>
      </c>
      <c r="I45" s="175" t="s">
        <v>68</v>
      </c>
      <c r="J45" s="343">
        <v>0</v>
      </c>
      <c r="K45" s="343">
        <v>150000000</v>
      </c>
      <c r="L45" s="343">
        <v>0</v>
      </c>
      <c r="M45" s="343">
        <v>0</v>
      </c>
      <c r="N45" s="344">
        <f t="shared" si="2"/>
        <v>150000000</v>
      </c>
      <c r="O45" s="78"/>
    </row>
    <row r="46" spans="1:15" ht="37.5" customHeight="1">
      <c r="A46" s="221"/>
      <c r="B46" s="342" t="s">
        <v>657</v>
      </c>
      <c r="C46" s="1065" t="s">
        <v>665</v>
      </c>
      <c r="D46" s="1066"/>
      <c r="E46" s="1066"/>
      <c r="F46" s="1067"/>
      <c r="G46" s="171" t="s">
        <v>67</v>
      </c>
      <c r="H46" s="174">
        <v>1</v>
      </c>
      <c r="I46" s="175" t="s">
        <v>68</v>
      </c>
      <c r="J46" s="343">
        <v>0</v>
      </c>
      <c r="K46" s="343">
        <v>200000000</v>
      </c>
      <c r="L46" s="343">
        <v>0</v>
      </c>
      <c r="M46" s="343">
        <v>0</v>
      </c>
      <c r="N46" s="344">
        <f t="shared" si="2"/>
        <v>200000000</v>
      </c>
      <c r="O46" s="78"/>
    </row>
    <row r="47" spans="1:15" ht="32.25" customHeight="1">
      <c r="A47" s="171"/>
      <c r="B47" s="173"/>
      <c r="C47" s="1078" t="s">
        <v>144</v>
      </c>
      <c r="D47" s="1079"/>
      <c r="E47" s="1079"/>
      <c r="F47" s="1079"/>
      <c r="G47" s="1079"/>
      <c r="H47" s="1079"/>
      <c r="I47" s="1080"/>
      <c r="J47" s="1081" t="s">
        <v>843</v>
      </c>
      <c r="K47" s="1082"/>
      <c r="L47" s="1083"/>
      <c r="M47" s="1081" t="s">
        <v>844</v>
      </c>
      <c r="N47" s="1083"/>
      <c r="O47" s="78"/>
    </row>
    <row r="48" spans="1:15" ht="37.5" customHeight="1">
      <c r="A48" s="151"/>
      <c r="B48" s="409"/>
      <c r="C48" s="410"/>
      <c r="D48" s="410"/>
      <c r="E48" s="410"/>
      <c r="F48" s="410"/>
      <c r="G48" s="151"/>
      <c r="H48" s="411"/>
      <c r="I48" s="412"/>
      <c r="J48" s="413"/>
      <c r="K48" s="413"/>
      <c r="L48" s="413"/>
      <c r="M48" s="413"/>
      <c r="N48" s="414"/>
      <c r="O48" s="78"/>
    </row>
    <row r="49" spans="1:15" ht="37.5" customHeight="1">
      <c r="A49" s="151"/>
      <c r="B49" s="409"/>
      <c r="C49" s="410"/>
      <c r="D49" s="410"/>
      <c r="E49" s="410"/>
      <c r="F49" s="410"/>
      <c r="G49" s="151"/>
      <c r="H49" s="411"/>
      <c r="I49" s="412"/>
      <c r="J49" s="413"/>
      <c r="K49" s="413"/>
      <c r="L49" s="413"/>
      <c r="M49" s="413"/>
      <c r="N49" s="414"/>
      <c r="O49" s="78"/>
    </row>
    <row r="50" spans="1:15" ht="37.5" customHeight="1">
      <c r="A50" s="151"/>
      <c r="B50" s="409"/>
      <c r="C50" s="410"/>
      <c r="D50" s="410"/>
      <c r="E50" s="410"/>
      <c r="F50" s="410"/>
      <c r="G50" s="151"/>
      <c r="H50" s="411"/>
      <c r="I50" s="412"/>
      <c r="J50" s="413"/>
      <c r="K50" s="413"/>
      <c r="L50" s="413"/>
      <c r="M50" s="413"/>
      <c r="N50" s="414"/>
      <c r="O50" s="78"/>
    </row>
    <row r="51" spans="1:15" ht="25.5" customHeight="1" thickBot="1">
      <c r="O51" s="78"/>
    </row>
    <row r="52" spans="1:15" ht="25.5" customHeight="1">
      <c r="A52" s="415" t="s">
        <v>103</v>
      </c>
      <c r="B52" s="416"/>
      <c r="C52" s="1084" t="s">
        <v>104</v>
      </c>
      <c r="D52" s="1085"/>
      <c r="E52" s="1085"/>
      <c r="F52" s="1086"/>
      <c r="G52" s="417" t="s">
        <v>67</v>
      </c>
      <c r="H52" s="418">
        <v>1</v>
      </c>
      <c r="I52" s="419" t="s">
        <v>68</v>
      </c>
      <c r="J52" s="420">
        <f>SUM(J53:J62)</f>
        <v>25000000</v>
      </c>
      <c r="K52" s="420">
        <f>SUM(K53:K62)</f>
        <v>505000000</v>
      </c>
      <c r="L52" s="420">
        <f>SUM(L53:L62)</f>
        <v>740000000</v>
      </c>
      <c r="M52" s="420">
        <f>SUM(M53:M62)</f>
        <v>5000000</v>
      </c>
      <c r="N52" s="420">
        <f>SUM(N53:N62)</f>
        <v>1275000000</v>
      </c>
      <c r="O52" s="78"/>
    </row>
    <row r="53" spans="1:15" ht="25.5" customHeight="1">
      <c r="A53" s="180"/>
      <c r="B53" s="179" t="s">
        <v>666</v>
      </c>
      <c r="C53" s="1065" t="s">
        <v>674</v>
      </c>
      <c r="D53" s="1066"/>
      <c r="E53" s="1066"/>
      <c r="F53" s="1067"/>
      <c r="G53" s="171" t="s">
        <v>67</v>
      </c>
      <c r="H53" s="174">
        <v>1</v>
      </c>
      <c r="I53" s="175" t="s">
        <v>68</v>
      </c>
      <c r="J53" s="370">
        <v>0</v>
      </c>
      <c r="K53" s="178">
        <v>50000000</v>
      </c>
      <c r="L53" s="178">
        <v>0</v>
      </c>
      <c r="M53" s="178">
        <v>0</v>
      </c>
      <c r="N53" s="227">
        <f>J53+K53+L53+M53</f>
        <v>50000000</v>
      </c>
      <c r="O53" s="78"/>
    </row>
    <row r="54" spans="1:15" ht="39" customHeight="1">
      <c r="A54" s="180"/>
      <c r="B54" s="169" t="s">
        <v>516</v>
      </c>
      <c r="C54" s="1065" t="s">
        <v>675</v>
      </c>
      <c r="D54" s="1066"/>
      <c r="E54" s="1066"/>
      <c r="F54" s="1067"/>
      <c r="G54" s="171" t="s">
        <v>67</v>
      </c>
      <c r="H54" s="172">
        <v>1</v>
      </c>
      <c r="I54" s="175" t="s">
        <v>68</v>
      </c>
      <c r="J54" s="177">
        <v>0</v>
      </c>
      <c r="K54" s="177">
        <v>0</v>
      </c>
      <c r="L54" s="177">
        <v>50000000</v>
      </c>
      <c r="M54" s="177">
        <f>-M53</f>
        <v>0</v>
      </c>
      <c r="N54" s="227">
        <f t="shared" ref="N54:N62" si="3">J54+K54+L54+M54</f>
        <v>50000000</v>
      </c>
      <c r="O54" s="78"/>
    </row>
    <row r="55" spans="1:15" ht="22.5" customHeight="1">
      <c r="A55" s="180"/>
      <c r="B55" s="169" t="s">
        <v>667</v>
      </c>
      <c r="C55" s="1077" t="s">
        <v>676</v>
      </c>
      <c r="D55" s="1077"/>
      <c r="E55" s="1077"/>
      <c r="F55" s="1077"/>
      <c r="G55" s="171" t="s">
        <v>67</v>
      </c>
      <c r="H55" s="172">
        <v>1</v>
      </c>
      <c r="I55" s="175" t="s">
        <v>68</v>
      </c>
      <c r="J55" s="177">
        <v>0</v>
      </c>
      <c r="K55" s="177">
        <v>0</v>
      </c>
      <c r="L55" s="177">
        <v>100000000</v>
      </c>
      <c r="M55" s="177">
        <v>0</v>
      </c>
      <c r="N55" s="227">
        <f t="shared" si="3"/>
        <v>100000000</v>
      </c>
      <c r="O55" s="78"/>
    </row>
    <row r="56" spans="1:15" ht="22.5" customHeight="1">
      <c r="A56" s="180"/>
      <c r="B56" s="169" t="s">
        <v>668</v>
      </c>
      <c r="C56" s="1077" t="s">
        <v>677</v>
      </c>
      <c r="D56" s="1077"/>
      <c r="E56" s="1077"/>
      <c r="F56" s="1077"/>
      <c r="G56" s="171" t="s">
        <v>67</v>
      </c>
      <c r="H56" s="172">
        <v>1</v>
      </c>
      <c r="I56" s="175" t="s">
        <v>68</v>
      </c>
      <c r="J56" s="177">
        <v>25000000</v>
      </c>
      <c r="K56" s="177">
        <v>0</v>
      </c>
      <c r="L56" s="177">
        <v>0</v>
      </c>
      <c r="M56" s="177">
        <v>0</v>
      </c>
      <c r="N56" s="227">
        <f t="shared" si="3"/>
        <v>25000000</v>
      </c>
      <c r="O56" s="78"/>
    </row>
    <row r="57" spans="1:15" ht="22.5" customHeight="1">
      <c r="A57" s="180"/>
      <c r="B57" s="169" t="s">
        <v>669</v>
      </c>
      <c r="C57" s="1065" t="s">
        <v>678</v>
      </c>
      <c r="D57" s="1066"/>
      <c r="E57" s="1066"/>
      <c r="F57" s="1067"/>
      <c r="G57" s="171" t="s">
        <v>67</v>
      </c>
      <c r="H57" s="172">
        <v>1</v>
      </c>
      <c r="I57" s="175" t="s">
        <v>68</v>
      </c>
      <c r="J57" s="177">
        <v>0</v>
      </c>
      <c r="K57" s="177">
        <v>200000000</v>
      </c>
      <c r="L57" s="177">
        <v>0</v>
      </c>
      <c r="M57" s="177">
        <v>0</v>
      </c>
      <c r="N57" s="227">
        <f t="shared" si="3"/>
        <v>200000000</v>
      </c>
      <c r="O57" s="78"/>
    </row>
    <row r="58" spans="1:15" ht="22.5" customHeight="1">
      <c r="A58" s="180"/>
      <c r="B58" s="169" t="s">
        <v>670</v>
      </c>
      <c r="C58" s="1065" t="s">
        <v>679</v>
      </c>
      <c r="D58" s="1066"/>
      <c r="E58" s="1066"/>
      <c r="F58" s="1067"/>
      <c r="G58" s="171" t="s">
        <v>67</v>
      </c>
      <c r="H58" s="172">
        <v>1</v>
      </c>
      <c r="I58" s="175" t="s">
        <v>68</v>
      </c>
      <c r="J58" s="177">
        <v>0</v>
      </c>
      <c r="K58" s="177">
        <v>0</v>
      </c>
      <c r="L58" s="177">
        <v>150000000</v>
      </c>
      <c r="M58" s="177">
        <v>0</v>
      </c>
      <c r="N58" s="227">
        <f t="shared" si="3"/>
        <v>150000000</v>
      </c>
      <c r="O58" s="78"/>
    </row>
    <row r="59" spans="1:15" ht="22.5" customHeight="1">
      <c r="A59" s="180"/>
      <c r="B59" s="169" t="s">
        <v>671</v>
      </c>
      <c r="C59" s="1065" t="s">
        <v>680</v>
      </c>
      <c r="D59" s="1066"/>
      <c r="E59" s="1066"/>
      <c r="F59" s="1067"/>
      <c r="G59" s="171" t="s">
        <v>67</v>
      </c>
      <c r="H59" s="172">
        <v>1</v>
      </c>
      <c r="I59" s="175" t="s">
        <v>68</v>
      </c>
      <c r="J59" s="177">
        <v>0</v>
      </c>
      <c r="K59" s="177">
        <v>200000000</v>
      </c>
      <c r="L59" s="177">
        <v>0</v>
      </c>
      <c r="M59" s="177">
        <v>0</v>
      </c>
      <c r="N59" s="227">
        <f t="shared" si="3"/>
        <v>200000000</v>
      </c>
      <c r="O59" s="78"/>
    </row>
    <row r="60" spans="1:15" ht="22.5" customHeight="1">
      <c r="A60" s="180"/>
      <c r="B60" s="169" t="s">
        <v>672</v>
      </c>
      <c r="C60" s="1065" t="s">
        <v>681</v>
      </c>
      <c r="D60" s="1066"/>
      <c r="E60" s="1066"/>
      <c r="F60" s="1067"/>
      <c r="G60" s="171" t="s">
        <v>67</v>
      </c>
      <c r="H60" s="172">
        <v>1</v>
      </c>
      <c r="I60" s="175" t="s">
        <v>68</v>
      </c>
      <c r="J60" s="177">
        <v>0</v>
      </c>
      <c r="K60" s="177">
        <v>0</v>
      </c>
      <c r="L60" s="177">
        <v>200000000</v>
      </c>
      <c r="M60" s="177">
        <v>0</v>
      </c>
      <c r="N60" s="227">
        <f t="shared" si="3"/>
        <v>200000000</v>
      </c>
      <c r="O60" s="78"/>
    </row>
    <row r="61" spans="1:15" ht="22.5" customHeight="1">
      <c r="A61" s="180"/>
      <c r="B61" s="169" t="s">
        <v>673</v>
      </c>
      <c r="C61" s="1065" t="s">
        <v>682</v>
      </c>
      <c r="D61" s="1066"/>
      <c r="E61" s="1066"/>
      <c r="F61" s="1067"/>
      <c r="G61" s="171" t="s">
        <v>67</v>
      </c>
      <c r="H61" s="172">
        <v>1</v>
      </c>
      <c r="I61" s="175" t="s">
        <v>68</v>
      </c>
      <c r="J61" s="177">
        <v>0</v>
      </c>
      <c r="K61" s="177">
        <v>15000000</v>
      </c>
      <c r="L61" s="177">
        <v>185000000</v>
      </c>
      <c r="M61" s="177">
        <v>0</v>
      </c>
      <c r="N61" s="227">
        <f t="shared" si="3"/>
        <v>200000000</v>
      </c>
      <c r="O61" s="78"/>
    </row>
    <row r="62" spans="1:15" ht="22.5" customHeight="1">
      <c r="A62" s="180"/>
      <c r="B62" s="169" t="s">
        <v>715</v>
      </c>
      <c r="C62" s="1065" t="s">
        <v>716</v>
      </c>
      <c r="D62" s="1066"/>
      <c r="E62" s="1066"/>
      <c r="F62" s="1067"/>
      <c r="G62" s="171" t="s">
        <v>67</v>
      </c>
      <c r="H62" s="172">
        <v>1</v>
      </c>
      <c r="I62" s="175" t="s">
        <v>68</v>
      </c>
      <c r="J62" s="177"/>
      <c r="K62" s="177">
        <v>40000000</v>
      </c>
      <c r="L62" s="177">
        <v>55000000</v>
      </c>
      <c r="M62" s="177">
        <v>5000000</v>
      </c>
      <c r="N62" s="227">
        <f t="shared" si="3"/>
        <v>100000000</v>
      </c>
      <c r="O62" s="78"/>
    </row>
    <row r="63" spans="1:15" ht="22.5" customHeight="1">
      <c r="A63" s="225" t="s">
        <v>683</v>
      </c>
      <c r="B63" s="169"/>
      <c r="C63" s="1071" t="s">
        <v>684</v>
      </c>
      <c r="D63" s="1072"/>
      <c r="E63" s="1072"/>
      <c r="F63" s="1073"/>
      <c r="G63" s="171" t="s">
        <v>67</v>
      </c>
      <c r="H63" s="172">
        <v>1</v>
      </c>
      <c r="I63" s="175" t="s">
        <v>68</v>
      </c>
      <c r="J63" s="305">
        <f>J64+J65+J66</f>
        <v>92500000</v>
      </c>
      <c r="K63" s="305">
        <f>K64+K65+K66</f>
        <v>207500000</v>
      </c>
      <c r="L63" s="305">
        <f>L64+L65+L66</f>
        <v>0</v>
      </c>
      <c r="M63" s="305">
        <f>M64+M65+M66</f>
        <v>0</v>
      </c>
      <c r="N63" s="305">
        <f>N64+N65+N66</f>
        <v>300000000</v>
      </c>
      <c r="O63" s="78"/>
    </row>
    <row r="64" spans="1:15" ht="23.25" customHeight="1">
      <c r="A64" s="180"/>
      <c r="B64" s="169" t="s">
        <v>688</v>
      </c>
      <c r="C64" s="1065" t="s">
        <v>685</v>
      </c>
      <c r="D64" s="1066"/>
      <c r="E64" s="1066"/>
      <c r="F64" s="1067"/>
      <c r="G64" s="171" t="s">
        <v>67</v>
      </c>
      <c r="H64" s="172">
        <v>1</v>
      </c>
      <c r="I64" s="175" t="s">
        <v>68</v>
      </c>
      <c r="J64" s="177">
        <v>42500000</v>
      </c>
      <c r="K64" s="177">
        <v>7500000</v>
      </c>
      <c r="L64" s="177">
        <v>0</v>
      </c>
      <c r="M64" s="177">
        <v>0</v>
      </c>
      <c r="N64" s="378">
        <f>J64+K64+L64+M64</f>
        <v>50000000</v>
      </c>
      <c r="O64" s="78"/>
    </row>
    <row r="65" spans="1:17" ht="24" customHeight="1">
      <c r="A65" s="180"/>
      <c r="B65" s="169" t="s">
        <v>689</v>
      </c>
      <c r="C65" s="1065" t="s">
        <v>686</v>
      </c>
      <c r="D65" s="1066"/>
      <c r="E65" s="1066"/>
      <c r="F65" s="1067"/>
      <c r="G65" s="171" t="s">
        <v>67</v>
      </c>
      <c r="H65" s="172">
        <v>1</v>
      </c>
      <c r="I65" s="175" t="s">
        <v>68</v>
      </c>
      <c r="J65" s="177">
        <v>50000000</v>
      </c>
      <c r="K65" s="177">
        <v>0</v>
      </c>
      <c r="L65" s="177">
        <v>0</v>
      </c>
      <c r="M65" s="177">
        <v>0</v>
      </c>
      <c r="N65" s="378">
        <f>J65+K65+L65+M65</f>
        <v>50000000</v>
      </c>
      <c r="O65" s="78"/>
    </row>
    <row r="66" spans="1:17" ht="26.25" customHeight="1">
      <c r="A66" s="180"/>
      <c r="B66" s="169" t="s">
        <v>690</v>
      </c>
      <c r="C66" s="1065" t="s">
        <v>687</v>
      </c>
      <c r="D66" s="1066"/>
      <c r="E66" s="1066"/>
      <c r="F66" s="1067"/>
      <c r="G66" s="171" t="s">
        <v>67</v>
      </c>
      <c r="H66" s="172">
        <v>1</v>
      </c>
      <c r="I66" s="175" t="s">
        <v>68</v>
      </c>
      <c r="J66" s="177">
        <v>0</v>
      </c>
      <c r="K66" s="177">
        <v>200000000</v>
      </c>
      <c r="L66" s="177">
        <v>0</v>
      </c>
      <c r="M66" s="177">
        <v>0</v>
      </c>
      <c r="N66" s="181">
        <f>J66+K66+L66+M66</f>
        <v>200000000</v>
      </c>
      <c r="O66" s="78"/>
    </row>
    <row r="67" spans="1:17" ht="22.5" customHeight="1">
      <c r="A67" s="225" t="s">
        <v>517</v>
      </c>
      <c r="B67" s="171"/>
      <c r="C67" s="1057" t="s">
        <v>518</v>
      </c>
      <c r="D67" s="1057"/>
      <c r="E67" s="1057"/>
      <c r="F67" s="1057"/>
      <c r="G67" s="171"/>
      <c r="H67" s="172"/>
      <c r="I67" s="175"/>
      <c r="J67" s="305">
        <f>J68+J69</f>
        <v>0</v>
      </c>
      <c r="K67" s="305">
        <f>K68+K69</f>
        <v>200000000</v>
      </c>
      <c r="L67" s="305">
        <f>L68+L69</f>
        <v>0</v>
      </c>
      <c r="M67" s="305">
        <f>M68+M69</f>
        <v>0</v>
      </c>
      <c r="N67" s="305">
        <f>N68+N69</f>
        <v>200000000</v>
      </c>
      <c r="O67" s="78"/>
    </row>
    <row r="68" spans="1:17" ht="21" customHeight="1">
      <c r="A68" s="180"/>
      <c r="B68" s="169" t="s">
        <v>692</v>
      </c>
      <c r="C68" s="1088" t="s">
        <v>691</v>
      </c>
      <c r="D68" s="1088"/>
      <c r="E68" s="1088"/>
      <c r="F68" s="1088"/>
      <c r="G68" s="171" t="s">
        <v>67</v>
      </c>
      <c r="H68" s="172">
        <v>1</v>
      </c>
      <c r="I68" s="175" t="s">
        <v>68</v>
      </c>
      <c r="J68" s="178">
        <v>0</v>
      </c>
      <c r="K68" s="178">
        <v>100000000</v>
      </c>
      <c r="L68" s="178">
        <v>0</v>
      </c>
      <c r="M68" s="178">
        <v>0</v>
      </c>
      <c r="N68" s="181">
        <f>J68+K68+L68+M68</f>
        <v>100000000</v>
      </c>
      <c r="O68" s="78"/>
    </row>
    <row r="69" spans="1:17" ht="24.75" customHeight="1">
      <c r="A69" s="180"/>
      <c r="B69" s="169" t="s">
        <v>693</v>
      </c>
      <c r="C69" s="1065" t="s">
        <v>694</v>
      </c>
      <c r="D69" s="1066"/>
      <c r="E69" s="1066"/>
      <c r="F69" s="1067"/>
      <c r="G69" s="171" t="s">
        <v>67</v>
      </c>
      <c r="H69" s="172">
        <v>1</v>
      </c>
      <c r="I69" s="175" t="s">
        <v>68</v>
      </c>
      <c r="J69" s="178">
        <v>0</v>
      </c>
      <c r="K69" s="178">
        <v>100000000</v>
      </c>
      <c r="L69" s="178">
        <v>0</v>
      </c>
      <c r="M69" s="178">
        <v>0</v>
      </c>
      <c r="N69" s="181">
        <f>J69+K69+L69+M69</f>
        <v>100000000</v>
      </c>
      <c r="O69" s="78"/>
    </row>
    <row r="70" spans="1:17" ht="21" customHeight="1">
      <c r="A70" s="180"/>
      <c r="B70" s="171"/>
      <c r="C70" s="1054"/>
      <c r="D70" s="1055"/>
      <c r="E70" s="1055"/>
      <c r="F70" s="1052"/>
      <c r="G70" s="171"/>
      <c r="H70" s="171"/>
      <c r="I70" s="171"/>
      <c r="J70" s="171"/>
      <c r="K70" s="171"/>
      <c r="L70" s="171"/>
      <c r="M70" s="171"/>
      <c r="N70" s="181"/>
    </row>
    <row r="71" spans="1:17" ht="30.75" customHeight="1">
      <c r="A71" s="182"/>
      <c r="B71" s="183"/>
      <c r="C71" s="183"/>
      <c r="D71" s="183"/>
      <c r="E71" s="183"/>
      <c r="F71" s="183"/>
      <c r="G71" s="183"/>
      <c r="H71" s="183"/>
      <c r="I71" s="184"/>
      <c r="J71" s="185">
        <f>J52+J33+J40+J28+J14+J63</f>
        <v>605548000</v>
      </c>
      <c r="K71" s="185">
        <f>K52+K33+K40+K28+K14+K63+K67</f>
        <v>2632519000</v>
      </c>
      <c r="L71" s="185">
        <f>L52+L33+L40+L28+L14+L63</f>
        <v>2042121850</v>
      </c>
      <c r="M71" s="185">
        <f>M52+M33+M40+M28+M14+M63</f>
        <v>224421150</v>
      </c>
      <c r="N71" s="185">
        <f>J71+K71+L71+M71</f>
        <v>5504610000</v>
      </c>
    </row>
    <row r="72" spans="1:17">
      <c r="A72" s="150"/>
      <c r="B72" s="151"/>
      <c r="C72" s="151"/>
      <c r="D72" s="151"/>
      <c r="E72" s="151"/>
      <c r="F72" s="151"/>
      <c r="G72" s="1053"/>
      <c r="H72" s="1040"/>
      <c r="I72" s="1040"/>
      <c r="J72" s="1040"/>
      <c r="K72" s="1040"/>
      <c r="L72" s="1040"/>
      <c r="M72" s="1040"/>
      <c r="N72" s="1089"/>
      <c r="Q72" s="78">
        <v>1970186000</v>
      </c>
    </row>
    <row r="73" spans="1:17">
      <c r="A73" s="150" t="s">
        <v>105</v>
      </c>
      <c r="B73" s="151"/>
      <c r="C73" s="151"/>
      <c r="D73" s="151"/>
      <c r="E73" s="151"/>
      <c r="F73" s="151"/>
      <c r="G73" s="1036" t="s">
        <v>836</v>
      </c>
      <c r="H73" s="1037"/>
      <c r="I73" s="1037"/>
      <c r="J73" s="1037"/>
      <c r="K73" s="1037"/>
      <c r="L73" s="1037"/>
      <c r="M73" s="1037"/>
      <c r="N73" s="1038"/>
      <c r="Q73" s="78" t="e">
        <f>#REF!+Q72</f>
        <v>#REF!</v>
      </c>
    </row>
    <row r="74" spans="1:17">
      <c r="A74" s="150" t="s">
        <v>106</v>
      </c>
      <c r="B74" s="151"/>
      <c r="C74" s="151" t="s">
        <v>17</v>
      </c>
      <c r="D74" s="1087">
        <v>593373000</v>
      </c>
      <c r="E74" s="1087"/>
      <c r="F74" s="151"/>
      <c r="G74" s="1036" t="s">
        <v>585</v>
      </c>
      <c r="H74" s="1037"/>
      <c r="I74" s="1037"/>
      <c r="J74" s="1037"/>
      <c r="K74" s="1037"/>
      <c r="L74" s="1037"/>
      <c r="M74" s="1037"/>
      <c r="N74" s="1038"/>
    </row>
    <row r="75" spans="1:17">
      <c r="A75" s="150" t="s">
        <v>107</v>
      </c>
      <c r="B75" s="151"/>
      <c r="C75" s="151" t="s">
        <v>17</v>
      </c>
      <c r="D75" s="1087">
        <v>4649694000</v>
      </c>
      <c r="E75" s="1087"/>
      <c r="F75" s="151"/>
      <c r="G75" s="424"/>
      <c r="H75" s="421"/>
      <c r="I75" s="421"/>
      <c r="J75" s="421"/>
      <c r="K75" s="1037" t="s">
        <v>537</v>
      </c>
      <c r="L75" s="1037"/>
      <c r="M75" s="421"/>
      <c r="N75" s="423"/>
    </row>
    <row r="76" spans="1:17">
      <c r="A76" s="150" t="s">
        <v>108</v>
      </c>
      <c r="B76" s="151"/>
      <c r="C76" s="151" t="s">
        <v>17</v>
      </c>
      <c r="D76" s="1087">
        <v>4787121850</v>
      </c>
      <c r="E76" s="1087"/>
      <c r="F76" s="151"/>
      <c r="G76" s="424"/>
      <c r="H76" s="421"/>
      <c r="I76" s="421"/>
      <c r="J76" s="421"/>
      <c r="K76" s="421"/>
      <c r="L76" s="421"/>
      <c r="M76" s="421"/>
      <c r="N76" s="423"/>
      <c r="Q76" s="78">
        <f>J71+K71+L71+M71</f>
        <v>5504610000</v>
      </c>
    </row>
    <row r="77" spans="1:17">
      <c r="A77" s="150" t="s">
        <v>109</v>
      </c>
      <c r="B77" s="151"/>
      <c r="C77" s="153" t="s">
        <v>17</v>
      </c>
      <c r="D77" s="1091">
        <v>474421150</v>
      </c>
      <c r="E77" s="1091"/>
      <c r="F77" s="151"/>
      <c r="G77" s="424"/>
      <c r="H77" s="421"/>
      <c r="I77" s="421"/>
      <c r="J77" s="421"/>
      <c r="K77" s="421"/>
      <c r="L77" s="421"/>
      <c r="M77" s="421"/>
      <c r="N77" s="423"/>
    </row>
    <row r="78" spans="1:17">
      <c r="A78" s="1098" t="s">
        <v>110</v>
      </c>
      <c r="B78" s="1037"/>
      <c r="C78" s="153" t="s">
        <v>17</v>
      </c>
      <c r="D78" s="1099">
        <f>SUM(D74:E77)</f>
        <v>10504610000</v>
      </c>
      <c r="E78" s="1099"/>
      <c r="F78" s="151"/>
      <c r="G78" s="1095" t="s">
        <v>192</v>
      </c>
      <c r="H78" s="1096"/>
      <c r="I78" s="1096"/>
      <c r="J78" s="1096"/>
      <c r="K78" s="1096"/>
      <c r="L78" s="1096"/>
      <c r="M78" s="1096"/>
      <c r="N78" s="1097"/>
    </row>
    <row r="79" spans="1:17">
      <c r="A79" s="150"/>
      <c r="B79" s="151"/>
      <c r="C79" s="151"/>
      <c r="D79" s="151"/>
      <c r="E79" s="151"/>
      <c r="F79" s="151"/>
      <c r="G79" s="1092" t="s">
        <v>837</v>
      </c>
      <c r="H79" s="1043"/>
      <c r="I79" s="1043"/>
      <c r="J79" s="1043"/>
      <c r="K79" s="1043"/>
      <c r="L79" s="1043"/>
      <c r="M79" s="1043"/>
      <c r="N79" s="1093"/>
    </row>
    <row r="80" spans="1:17">
      <c r="A80" s="1054" t="s">
        <v>521</v>
      </c>
      <c r="B80" s="1055"/>
      <c r="C80" s="1055"/>
      <c r="D80" s="1055"/>
      <c r="E80" s="1055"/>
      <c r="F80" s="1052"/>
      <c r="G80" s="1094" t="s">
        <v>838</v>
      </c>
      <c r="H80" s="1040"/>
      <c r="I80" s="1040"/>
      <c r="J80" s="1040"/>
      <c r="K80" s="1040"/>
      <c r="L80" s="1040"/>
      <c r="M80" s="1040"/>
      <c r="N80" s="1089"/>
    </row>
    <row r="81" spans="1:14">
      <c r="A81" s="150"/>
      <c r="B81" s="151"/>
      <c r="C81" s="151"/>
      <c r="D81" s="151"/>
      <c r="E81" s="151"/>
      <c r="F81" s="151"/>
      <c r="G81" s="1036" t="s">
        <v>114</v>
      </c>
      <c r="H81" s="1037"/>
      <c r="I81" s="1037"/>
      <c r="J81" s="1037"/>
      <c r="K81" s="1037"/>
      <c r="L81" s="1037"/>
      <c r="M81" s="1037"/>
      <c r="N81" s="1038"/>
    </row>
    <row r="82" spans="1:14">
      <c r="A82" s="157">
        <v>1</v>
      </c>
      <c r="B82" s="151" t="s">
        <v>460</v>
      </c>
      <c r="C82" s="151"/>
      <c r="D82" s="151" t="s">
        <v>523</v>
      </c>
      <c r="E82" s="195"/>
      <c r="F82" s="151"/>
      <c r="G82" s="155"/>
      <c r="H82" s="151"/>
      <c r="I82" s="151"/>
      <c r="J82" s="151"/>
      <c r="K82" s="151"/>
      <c r="L82" s="151"/>
      <c r="M82" s="151"/>
      <c r="N82" s="186"/>
    </row>
    <row r="83" spans="1:14">
      <c r="A83" s="150"/>
      <c r="B83" s="151"/>
      <c r="C83" s="151"/>
      <c r="D83" s="151"/>
      <c r="E83" s="151"/>
      <c r="F83" s="151"/>
      <c r="G83" s="155"/>
      <c r="H83" s="151"/>
      <c r="I83" s="151"/>
      <c r="J83" s="151"/>
      <c r="K83" s="151"/>
      <c r="L83" s="151"/>
      <c r="M83" s="151"/>
      <c r="N83" s="186"/>
    </row>
    <row r="84" spans="1:14">
      <c r="A84" s="150">
        <v>2</v>
      </c>
      <c r="B84" s="151" t="s">
        <v>522</v>
      </c>
      <c r="C84" s="151"/>
      <c r="D84" s="151"/>
      <c r="E84" s="151" t="s">
        <v>524</v>
      </c>
      <c r="F84" s="195"/>
      <c r="G84" s="155"/>
      <c r="H84" s="151"/>
      <c r="I84" s="151"/>
      <c r="J84" s="151"/>
      <c r="K84" s="151"/>
      <c r="L84" s="151"/>
      <c r="M84" s="151"/>
      <c r="N84" s="186"/>
    </row>
    <row r="85" spans="1:14">
      <c r="A85" s="150"/>
      <c r="B85" s="151"/>
      <c r="C85" s="151"/>
      <c r="D85" s="151"/>
      <c r="E85" s="151"/>
      <c r="F85" s="151"/>
      <c r="G85" s="1095" t="s">
        <v>839</v>
      </c>
      <c r="H85" s="1096"/>
      <c r="I85" s="1096"/>
      <c r="J85" s="1096"/>
      <c r="K85" s="1096"/>
      <c r="L85" s="1096"/>
      <c r="M85" s="1096"/>
      <c r="N85" s="1097"/>
    </row>
    <row r="86" spans="1:14">
      <c r="A86" s="150"/>
      <c r="B86" s="151"/>
      <c r="C86" s="151"/>
      <c r="D86" s="151"/>
      <c r="E86" s="195"/>
      <c r="F86" s="151"/>
      <c r="G86" s="1090" t="s">
        <v>840</v>
      </c>
      <c r="H86" s="1037"/>
      <c r="I86" s="1037"/>
      <c r="J86" s="1037"/>
      <c r="K86" s="1037"/>
      <c r="L86" s="1037"/>
      <c r="M86" s="1037"/>
      <c r="N86" s="1038"/>
    </row>
    <row r="87" spans="1:14" ht="15.75" thickBot="1">
      <c r="A87" s="158"/>
      <c r="B87" s="159"/>
      <c r="C87" s="159"/>
      <c r="D87" s="159"/>
      <c r="E87" s="159"/>
      <c r="F87" s="159"/>
      <c r="G87" s="160"/>
      <c r="H87" s="159"/>
      <c r="I87" s="159"/>
      <c r="J87" s="159"/>
      <c r="K87" s="159"/>
      <c r="L87" s="159"/>
      <c r="M87" s="159"/>
      <c r="N87" s="187"/>
    </row>
  </sheetData>
  <mergeCells count="85">
    <mergeCell ref="C70:F70"/>
    <mergeCell ref="G72:N72"/>
    <mergeCell ref="G73:N73"/>
    <mergeCell ref="G86:N86"/>
    <mergeCell ref="D75:E75"/>
    <mergeCell ref="K75:L75"/>
    <mergeCell ref="D76:E76"/>
    <mergeCell ref="D77:E77"/>
    <mergeCell ref="G79:N79"/>
    <mergeCell ref="A80:F80"/>
    <mergeCell ref="G80:N80"/>
    <mergeCell ref="G81:N81"/>
    <mergeCell ref="G85:N85"/>
    <mergeCell ref="A78:B78"/>
    <mergeCell ref="D78:E78"/>
    <mergeCell ref="G78:N78"/>
    <mergeCell ref="D74:E74"/>
    <mergeCell ref="G74:N74"/>
    <mergeCell ref="C67:F67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  <mergeCell ref="C65:F65"/>
    <mergeCell ref="C66:F66"/>
    <mergeCell ref="C68:F68"/>
    <mergeCell ref="C69:F69"/>
    <mergeCell ref="J47:L47"/>
    <mergeCell ref="M47:N47"/>
    <mergeCell ref="C52:F52"/>
    <mergeCell ref="C53:F53"/>
    <mergeCell ref="C54:F54"/>
    <mergeCell ref="C55:F55"/>
    <mergeCell ref="C42:F42"/>
    <mergeCell ref="C43:F43"/>
    <mergeCell ref="C44:F44"/>
    <mergeCell ref="C45:F45"/>
    <mergeCell ref="C46:F46"/>
    <mergeCell ref="C47:I47"/>
    <mergeCell ref="C37:F37"/>
    <mergeCell ref="C38:F38"/>
    <mergeCell ref="C39:F39"/>
    <mergeCell ref="C40:F40"/>
    <mergeCell ref="C41:F41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24:F24"/>
    <mergeCell ref="C12:F12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A4:H4"/>
    <mergeCell ref="A7:N7"/>
    <mergeCell ref="A8:N8"/>
    <mergeCell ref="A9:B9"/>
    <mergeCell ref="C9:F9"/>
    <mergeCell ref="J9:M9"/>
    <mergeCell ref="A1:H1"/>
    <mergeCell ref="I1:N1"/>
    <mergeCell ref="A2:H2"/>
    <mergeCell ref="I2:N2"/>
    <mergeCell ref="A3:H3"/>
    <mergeCell ref="I3:N3"/>
  </mergeCells>
  <pageMargins left="0.511811023622047" right="0.511811023622047" top="0.511811023622047" bottom="0.511811023622047" header="0.31496062992126" footer="0.31496062992126"/>
  <pageSetup scale="70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09"/>
  <sheetViews>
    <sheetView view="pageBreakPreview" topLeftCell="G1" zoomScale="80" zoomScaleSheetLayoutView="80" workbookViewId="0">
      <pane ySplit="12" topLeftCell="A13" activePane="bottomLeft" state="frozen"/>
      <selection activeCell="G1" sqref="G1"/>
      <selection pane="bottomLeft" sqref="A1:U4"/>
    </sheetView>
  </sheetViews>
  <sheetFormatPr defaultRowHeight="15"/>
  <cols>
    <col min="1" max="1" width="6.7109375" customWidth="1"/>
    <col min="2" max="2" width="5.7109375" customWidth="1"/>
    <col min="6" max="6" width="2.7109375" customWidth="1"/>
    <col min="7" max="7" width="8.140625" customWidth="1"/>
    <col min="8" max="8" width="5.5703125" customWidth="1"/>
    <col min="9" max="9" width="6.28515625" customWidth="1"/>
    <col min="10" max="10" width="13.42578125" customWidth="1"/>
    <col min="11" max="11" width="15.28515625" customWidth="1"/>
    <col min="12" max="12" width="15.42578125" customWidth="1"/>
    <col min="13" max="13" width="15.5703125" customWidth="1"/>
    <col min="14" max="14" width="20" customWidth="1"/>
    <col min="15" max="19" width="16.5703125" customWidth="1"/>
    <col min="20" max="20" width="16.42578125" customWidth="1"/>
    <col min="21" max="21" width="12.85546875" customWidth="1"/>
    <col min="22" max="22" width="16.42578125" customWidth="1"/>
    <col min="23" max="23" width="18.28515625" customWidth="1"/>
    <col min="25" max="25" width="14.28515625" customWidth="1"/>
  </cols>
  <sheetData>
    <row r="1" spans="1:23">
      <c r="A1" s="1296" t="s">
        <v>888</v>
      </c>
      <c r="B1" s="1297"/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1297"/>
      <c r="O1" s="1297"/>
      <c r="P1" s="1297"/>
      <c r="Q1" s="1297"/>
      <c r="R1" s="1297"/>
      <c r="S1" s="1297"/>
      <c r="T1" s="1297"/>
      <c r="U1" s="1298"/>
      <c r="V1" s="428"/>
    </row>
    <row r="2" spans="1:23">
      <c r="A2" s="1299"/>
      <c r="B2" s="1300"/>
      <c r="C2" s="1300"/>
      <c r="D2" s="1300"/>
      <c r="E2" s="1300"/>
      <c r="F2" s="1300"/>
      <c r="G2" s="1300"/>
      <c r="H2" s="1300"/>
      <c r="I2" s="1300"/>
      <c r="J2" s="1300"/>
      <c r="K2" s="1300"/>
      <c r="L2" s="1300"/>
      <c r="M2" s="1300"/>
      <c r="N2" s="1300"/>
      <c r="O2" s="1300"/>
      <c r="P2" s="1300"/>
      <c r="Q2" s="1300"/>
      <c r="R2" s="1300"/>
      <c r="S2" s="1300"/>
      <c r="T2" s="1300"/>
      <c r="U2" s="1301"/>
      <c r="V2" s="428"/>
    </row>
    <row r="3" spans="1:23">
      <c r="A3" s="1299"/>
      <c r="B3" s="1300"/>
      <c r="C3" s="1300"/>
      <c r="D3" s="1300"/>
      <c r="E3" s="1300"/>
      <c r="F3" s="1300"/>
      <c r="G3" s="1300"/>
      <c r="H3" s="1300"/>
      <c r="I3" s="1300"/>
      <c r="J3" s="1300"/>
      <c r="K3" s="1300"/>
      <c r="L3" s="1300"/>
      <c r="M3" s="1300"/>
      <c r="N3" s="1300"/>
      <c r="O3" s="1300"/>
      <c r="P3" s="1300"/>
      <c r="Q3" s="1300"/>
      <c r="R3" s="1300"/>
      <c r="S3" s="1300"/>
      <c r="T3" s="1300"/>
      <c r="U3" s="1301"/>
      <c r="V3" s="428"/>
    </row>
    <row r="4" spans="1:23">
      <c r="A4" s="1302"/>
      <c r="B4" s="1303"/>
      <c r="C4" s="1303"/>
      <c r="D4" s="1303"/>
      <c r="E4" s="1303"/>
      <c r="F4" s="1303"/>
      <c r="G4" s="1303"/>
      <c r="H4" s="1303"/>
      <c r="I4" s="1303"/>
      <c r="J4" s="1303"/>
      <c r="K4" s="1303"/>
      <c r="L4" s="1303"/>
      <c r="M4" s="1303"/>
      <c r="N4" s="1303"/>
      <c r="O4" s="1303"/>
      <c r="P4" s="1303"/>
      <c r="Q4" s="1303"/>
      <c r="R4" s="1303"/>
      <c r="S4" s="1303"/>
      <c r="T4" s="1303"/>
      <c r="U4" s="1304"/>
      <c r="V4" s="151"/>
    </row>
    <row r="5" spans="1:23">
      <c r="A5" s="150" t="s">
        <v>5</v>
      </c>
      <c r="B5" s="151"/>
      <c r="C5" s="151"/>
      <c r="D5" s="151"/>
      <c r="E5" s="151" t="s">
        <v>6</v>
      </c>
      <c r="F5" s="151" t="s">
        <v>559</v>
      </c>
      <c r="G5" s="151"/>
      <c r="H5" s="151" t="s">
        <v>8</v>
      </c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2"/>
      <c r="V5" s="151"/>
    </row>
    <row r="6" spans="1:23">
      <c r="A6" s="150" t="s">
        <v>9</v>
      </c>
      <c r="B6" s="151"/>
      <c r="C6" s="151"/>
      <c r="D6" s="151"/>
      <c r="E6" s="151" t="s">
        <v>6</v>
      </c>
      <c r="F6" s="151" t="s">
        <v>652</v>
      </c>
      <c r="G6" s="151"/>
      <c r="H6" s="151" t="s">
        <v>11</v>
      </c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435"/>
      <c r="T6" s="151"/>
      <c r="U6" s="152"/>
      <c r="V6" s="151"/>
    </row>
    <row r="7" spans="1:23">
      <c r="A7" s="1045" t="s">
        <v>50</v>
      </c>
      <c r="B7" s="1046"/>
      <c r="C7" s="1046"/>
      <c r="D7" s="1046"/>
      <c r="E7" s="1046"/>
      <c r="F7" s="1046"/>
      <c r="G7" s="1046"/>
      <c r="H7" s="1046"/>
      <c r="I7" s="1046"/>
      <c r="J7" s="1046"/>
      <c r="K7" s="1046"/>
      <c r="L7" s="1046"/>
      <c r="M7" s="1046"/>
      <c r="N7" s="1046"/>
      <c r="O7" s="1046"/>
      <c r="P7" s="1046"/>
      <c r="Q7" s="1046"/>
      <c r="R7" s="1046"/>
      <c r="S7" s="1046"/>
      <c r="T7" s="1046"/>
      <c r="U7" s="1047"/>
      <c r="V7" s="432"/>
    </row>
    <row r="8" spans="1:23">
      <c r="A8" s="1048" t="s">
        <v>51</v>
      </c>
      <c r="B8" s="1049"/>
      <c r="C8" s="1049"/>
      <c r="D8" s="1049"/>
      <c r="E8" s="1049"/>
      <c r="F8" s="1049"/>
      <c r="G8" s="1049"/>
      <c r="H8" s="1049"/>
      <c r="I8" s="1049"/>
      <c r="J8" s="1049"/>
      <c r="K8" s="1049"/>
      <c r="L8" s="1049"/>
      <c r="M8" s="1049"/>
      <c r="N8" s="1049"/>
      <c r="O8" s="1049"/>
      <c r="P8" s="1049"/>
      <c r="Q8" s="1049"/>
      <c r="R8" s="1049"/>
      <c r="S8" s="1049"/>
      <c r="T8" s="1049"/>
      <c r="U8" s="1050"/>
      <c r="V8" s="432"/>
    </row>
    <row r="9" spans="1:23">
      <c r="A9" s="1051" t="s">
        <v>52</v>
      </c>
      <c r="B9" s="1052"/>
      <c r="C9" s="1053" t="s">
        <v>14</v>
      </c>
      <c r="D9" s="1040"/>
      <c r="E9" s="1040"/>
      <c r="F9" s="1041"/>
      <c r="G9" s="163" t="s">
        <v>53</v>
      </c>
      <c r="H9" s="163" t="s">
        <v>54</v>
      </c>
      <c r="I9" s="163" t="s">
        <v>55</v>
      </c>
      <c r="J9" s="1054" t="s">
        <v>845</v>
      </c>
      <c r="K9" s="1055"/>
      <c r="L9" s="1055"/>
      <c r="M9" s="1052"/>
      <c r="N9" s="218" t="s">
        <v>15</v>
      </c>
      <c r="O9" s="1054" t="s">
        <v>846</v>
      </c>
      <c r="P9" s="1055"/>
      <c r="Q9" s="1055"/>
      <c r="R9" s="1052"/>
      <c r="S9" s="218" t="s">
        <v>15</v>
      </c>
      <c r="T9" s="1039" t="s">
        <v>848</v>
      </c>
      <c r="U9" s="1089"/>
      <c r="V9" s="428"/>
    </row>
    <row r="10" spans="1:23" ht="15.75" thickBot="1">
      <c r="A10" s="219" t="s">
        <v>57</v>
      </c>
      <c r="B10" s="163" t="s">
        <v>58</v>
      </c>
      <c r="C10" s="155"/>
      <c r="D10" s="151"/>
      <c r="E10" s="151"/>
      <c r="F10" s="156"/>
      <c r="G10" s="165"/>
      <c r="H10" s="166" t="s">
        <v>59</v>
      </c>
      <c r="I10" s="166" t="s">
        <v>60</v>
      </c>
      <c r="J10" s="427" t="s">
        <v>32</v>
      </c>
      <c r="K10" s="431" t="s">
        <v>33</v>
      </c>
      <c r="L10" s="427" t="s">
        <v>34</v>
      </c>
      <c r="M10" s="427" t="s">
        <v>35</v>
      </c>
      <c r="N10" s="220" t="s">
        <v>61</v>
      </c>
      <c r="O10" s="220" t="s">
        <v>32</v>
      </c>
      <c r="P10" s="220" t="s">
        <v>33</v>
      </c>
      <c r="Q10" s="220" t="s">
        <v>34</v>
      </c>
      <c r="R10" s="220" t="s">
        <v>35</v>
      </c>
      <c r="S10" s="220" t="s">
        <v>61</v>
      </c>
      <c r="T10" s="1316"/>
      <c r="U10" s="1317"/>
      <c r="V10" s="428"/>
    </row>
    <row r="11" spans="1:23">
      <c r="A11" s="221"/>
      <c r="B11" s="167"/>
      <c r="C11" s="161"/>
      <c r="D11" s="154"/>
      <c r="E11" s="154"/>
      <c r="F11" s="162"/>
      <c r="G11" s="167"/>
      <c r="H11" s="167" t="s">
        <v>62</v>
      </c>
      <c r="I11" s="167"/>
      <c r="J11" s="161"/>
      <c r="K11" s="161"/>
      <c r="L11" s="161"/>
      <c r="M11" s="161"/>
      <c r="N11" s="222"/>
      <c r="O11" s="222"/>
      <c r="P11" s="222"/>
      <c r="Q11" s="222"/>
      <c r="R11" s="222"/>
      <c r="S11" s="222"/>
      <c r="T11" s="456" t="s">
        <v>17</v>
      </c>
      <c r="U11" s="456" t="s">
        <v>847</v>
      </c>
      <c r="V11" s="151"/>
    </row>
    <row r="12" spans="1:23">
      <c r="A12" s="223">
        <v>1</v>
      </c>
      <c r="B12" s="426">
        <v>2</v>
      </c>
      <c r="C12" s="1054">
        <v>3</v>
      </c>
      <c r="D12" s="1055"/>
      <c r="E12" s="1055"/>
      <c r="F12" s="1052"/>
      <c r="G12" s="168">
        <v>4</v>
      </c>
      <c r="H12" s="426">
        <v>5</v>
      </c>
      <c r="I12" s="168">
        <v>6</v>
      </c>
      <c r="J12" s="426">
        <v>7</v>
      </c>
      <c r="K12" s="168">
        <v>8</v>
      </c>
      <c r="L12" s="426">
        <v>9</v>
      </c>
      <c r="M12" s="168">
        <v>10</v>
      </c>
      <c r="N12" s="224">
        <v>11</v>
      </c>
      <c r="O12" s="224">
        <v>12</v>
      </c>
      <c r="P12" s="224">
        <v>13</v>
      </c>
      <c r="Q12" s="224">
        <v>14</v>
      </c>
      <c r="R12" s="224">
        <v>15</v>
      </c>
      <c r="S12" s="224">
        <v>16</v>
      </c>
      <c r="T12" s="224">
        <v>17</v>
      </c>
      <c r="U12" s="224">
        <v>18</v>
      </c>
      <c r="V12" s="428"/>
    </row>
    <row r="13" spans="1:23" ht="12.75" customHeight="1">
      <c r="A13" s="150"/>
      <c r="B13" s="164"/>
      <c r="C13" s="151"/>
      <c r="D13" s="151"/>
      <c r="E13" s="151"/>
      <c r="F13" s="151"/>
      <c r="G13" s="164"/>
      <c r="H13" s="151"/>
      <c r="I13" s="164"/>
      <c r="J13" s="151"/>
      <c r="K13" s="165"/>
      <c r="L13" s="151"/>
      <c r="M13" s="165"/>
      <c r="N13" s="151"/>
      <c r="O13" s="151"/>
      <c r="P13" s="151"/>
      <c r="Q13" s="151"/>
      <c r="R13" s="151"/>
      <c r="S13" s="151"/>
      <c r="T13" s="151"/>
      <c r="U13" s="152"/>
      <c r="V13" s="151"/>
    </row>
    <row r="14" spans="1:23" ht="24.75" customHeight="1">
      <c r="A14" s="225" t="s">
        <v>63</v>
      </c>
      <c r="B14" s="171"/>
      <c r="C14" s="1057" t="s">
        <v>64</v>
      </c>
      <c r="D14" s="1057"/>
      <c r="E14" s="1057"/>
      <c r="F14" s="1057"/>
      <c r="G14" s="171"/>
      <c r="H14" s="168"/>
      <c r="I14" s="168"/>
      <c r="J14" s="176">
        <f>SUM(J15:J27)</f>
        <v>90093000</v>
      </c>
      <c r="K14" s="176">
        <f>SUM(K15:K27)</f>
        <v>92564000</v>
      </c>
      <c r="L14" s="176">
        <f>SUM(L15:L27)</f>
        <v>72429350</v>
      </c>
      <c r="M14" s="176">
        <f>SUM(M15:M27)</f>
        <v>60228650</v>
      </c>
      <c r="N14" s="442">
        <f>J14+K14+L14+M14</f>
        <v>315315000</v>
      </c>
      <c r="O14" s="176">
        <f t="shared" ref="O14:T14" si="0">SUM(O15:O27)</f>
        <v>90093000</v>
      </c>
      <c r="P14" s="176">
        <f t="shared" si="0"/>
        <v>92564000</v>
      </c>
      <c r="Q14" s="176">
        <f t="shared" si="0"/>
        <v>72429350</v>
      </c>
      <c r="R14" s="442">
        <f t="shared" si="0"/>
        <v>88428650</v>
      </c>
      <c r="S14" s="442">
        <f t="shared" si="0"/>
        <v>343515000</v>
      </c>
      <c r="T14" s="442">
        <f t="shared" si="0"/>
        <v>28200000</v>
      </c>
      <c r="U14" s="226"/>
      <c r="V14" s="434"/>
      <c r="W14" s="78"/>
    </row>
    <row r="15" spans="1:23">
      <c r="A15" s="180"/>
      <c r="B15" s="170" t="s">
        <v>65</v>
      </c>
      <c r="C15" s="1058" t="s">
        <v>66</v>
      </c>
      <c r="D15" s="1059"/>
      <c r="E15" s="1059"/>
      <c r="F15" s="1060"/>
      <c r="G15" s="171" t="s">
        <v>67</v>
      </c>
      <c r="H15" s="172">
        <v>1</v>
      </c>
      <c r="I15" s="168" t="s">
        <v>68</v>
      </c>
      <c r="J15" s="177">
        <v>363000</v>
      </c>
      <c r="K15" s="177">
        <v>324000</v>
      </c>
      <c r="L15" s="177">
        <v>276000</v>
      </c>
      <c r="M15" s="177">
        <v>219000</v>
      </c>
      <c r="N15" s="445">
        <f>J15+K15+L15+M15</f>
        <v>1182000</v>
      </c>
      <c r="O15" s="177">
        <v>363000</v>
      </c>
      <c r="P15" s="177">
        <v>324000</v>
      </c>
      <c r="Q15" s="177">
        <v>276000</v>
      </c>
      <c r="R15" s="445">
        <f>219000+300000</f>
        <v>519000</v>
      </c>
      <c r="S15" s="445">
        <f>O15+P15+Q15+R15</f>
        <v>1482000</v>
      </c>
      <c r="T15" s="445">
        <f>S15-N15</f>
        <v>300000</v>
      </c>
      <c r="U15" s="181">
        <f>T15/N15*100</f>
        <v>25.380710659898476</v>
      </c>
      <c r="V15" s="435"/>
      <c r="W15" s="78" t="s">
        <v>814</v>
      </c>
    </row>
    <row r="16" spans="1:23" ht="21.75" customHeight="1">
      <c r="A16" s="180"/>
      <c r="B16" s="173" t="s">
        <v>69</v>
      </c>
      <c r="C16" s="1061" t="s">
        <v>445</v>
      </c>
      <c r="D16" s="1061"/>
      <c r="E16" s="1061"/>
      <c r="F16" s="1061"/>
      <c r="G16" s="171" t="s">
        <v>67</v>
      </c>
      <c r="H16" s="172">
        <v>1</v>
      </c>
      <c r="I16" s="168" t="s">
        <v>68</v>
      </c>
      <c r="J16" s="177">
        <v>12000000</v>
      </c>
      <c r="K16" s="177">
        <v>12000000</v>
      </c>
      <c r="L16" s="177">
        <v>9175000</v>
      </c>
      <c r="M16" s="177">
        <v>9175000</v>
      </c>
      <c r="N16" s="445">
        <f t="shared" ref="N16:N51" si="1">J16+K16+L16+M16</f>
        <v>42350000</v>
      </c>
      <c r="O16" s="177">
        <v>12000000</v>
      </c>
      <c r="P16" s="177">
        <v>12000000</v>
      </c>
      <c r="Q16" s="177">
        <v>9175000</v>
      </c>
      <c r="R16" s="445">
        <v>17875000</v>
      </c>
      <c r="S16" s="445">
        <f>O16+P16+Q16+R16</f>
        <v>51050000</v>
      </c>
      <c r="T16" s="445">
        <f>S16-N16</f>
        <v>8700000</v>
      </c>
      <c r="U16" s="181">
        <f t="shared" ref="U16:U39" si="2">T16/N16*100</f>
        <v>20.543093270365997</v>
      </c>
      <c r="V16" s="435"/>
      <c r="W16" s="78" t="s">
        <v>814</v>
      </c>
    </row>
    <row r="17" spans="1:23" ht="15" customHeight="1">
      <c r="A17" s="180"/>
      <c r="B17" s="173" t="s">
        <v>70</v>
      </c>
      <c r="C17" s="1056" t="s">
        <v>71</v>
      </c>
      <c r="D17" s="1056"/>
      <c r="E17" s="1056"/>
      <c r="F17" s="1056"/>
      <c r="G17" s="171" t="s">
        <v>67</v>
      </c>
      <c r="H17" s="172">
        <v>1</v>
      </c>
      <c r="I17" s="168" t="s">
        <v>68</v>
      </c>
      <c r="J17" s="177">
        <v>11775000</v>
      </c>
      <c r="K17" s="177">
        <v>11775000</v>
      </c>
      <c r="L17" s="177">
        <v>11775000</v>
      </c>
      <c r="M17" s="177">
        <v>4675000</v>
      </c>
      <c r="N17" s="445">
        <f t="shared" si="1"/>
        <v>40000000</v>
      </c>
      <c r="O17" s="177">
        <v>11775000</v>
      </c>
      <c r="P17" s="177">
        <v>11775000</v>
      </c>
      <c r="Q17" s="177">
        <v>11775000</v>
      </c>
      <c r="R17" s="445">
        <f>M17+11900000</f>
        <v>16575000</v>
      </c>
      <c r="S17" s="445">
        <f t="shared" ref="S17:S39" si="3">O17+P17+Q17+R17</f>
        <v>51900000</v>
      </c>
      <c r="T17" s="445">
        <f t="shared" ref="T17:T39" si="4">S17-N17</f>
        <v>11900000</v>
      </c>
      <c r="U17" s="181">
        <f t="shared" si="2"/>
        <v>29.75</v>
      </c>
      <c r="V17" s="435"/>
      <c r="W17" s="78" t="s">
        <v>814</v>
      </c>
    </row>
    <row r="18" spans="1:23">
      <c r="A18" s="180"/>
      <c r="B18" s="170" t="s">
        <v>72</v>
      </c>
      <c r="C18" s="1062" t="s">
        <v>73</v>
      </c>
      <c r="D18" s="1063"/>
      <c r="E18" s="1063"/>
      <c r="F18" s="1064"/>
      <c r="G18" s="171" t="s">
        <v>67</v>
      </c>
      <c r="H18" s="172">
        <v>1</v>
      </c>
      <c r="I18" s="168" t="s">
        <v>68</v>
      </c>
      <c r="J18" s="177">
        <v>4200000</v>
      </c>
      <c r="K18" s="177">
        <v>4000000</v>
      </c>
      <c r="L18" s="177">
        <v>3300000</v>
      </c>
      <c r="M18" s="177">
        <v>3256300</v>
      </c>
      <c r="N18" s="445">
        <f t="shared" si="1"/>
        <v>14756300</v>
      </c>
      <c r="O18" s="177">
        <v>4200000</v>
      </c>
      <c r="P18" s="177">
        <v>4000000</v>
      </c>
      <c r="Q18" s="177">
        <v>3300000</v>
      </c>
      <c r="R18" s="445">
        <v>3256300</v>
      </c>
      <c r="S18" s="445">
        <f t="shared" si="3"/>
        <v>14756300</v>
      </c>
      <c r="T18" s="445">
        <f t="shared" si="4"/>
        <v>0</v>
      </c>
      <c r="U18" s="181">
        <f t="shared" si="2"/>
        <v>0</v>
      </c>
      <c r="V18" s="435"/>
      <c r="W18" s="78" t="s">
        <v>814</v>
      </c>
    </row>
    <row r="19" spans="1:23" ht="15" customHeight="1">
      <c r="A19" s="180"/>
      <c r="B19" s="173" t="s">
        <v>74</v>
      </c>
      <c r="C19" s="1056" t="s">
        <v>75</v>
      </c>
      <c r="D19" s="1056"/>
      <c r="E19" s="1056"/>
      <c r="F19" s="1056"/>
      <c r="G19" s="171" t="s">
        <v>67</v>
      </c>
      <c r="H19" s="174">
        <v>1</v>
      </c>
      <c r="I19" s="175" t="s">
        <v>68</v>
      </c>
      <c r="J19" s="178">
        <v>4000000</v>
      </c>
      <c r="K19" s="178">
        <v>3500000</v>
      </c>
      <c r="L19" s="178">
        <v>3759850</v>
      </c>
      <c r="M19" s="178">
        <v>3759850</v>
      </c>
      <c r="N19" s="445">
        <f t="shared" si="1"/>
        <v>15019700</v>
      </c>
      <c r="O19" s="178">
        <v>4000000</v>
      </c>
      <c r="P19" s="178">
        <v>3500000</v>
      </c>
      <c r="Q19" s="178">
        <v>3759850</v>
      </c>
      <c r="R19" s="445">
        <v>4759850</v>
      </c>
      <c r="S19" s="445">
        <f t="shared" si="3"/>
        <v>16019700</v>
      </c>
      <c r="T19" s="445">
        <f t="shared" si="4"/>
        <v>1000000</v>
      </c>
      <c r="U19" s="181">
        <f t="shared" si="2"/>
        <v>6.657922594991911</v>
      </c>
      <c r="V19" s="435"/>
      <c r="W19" s="78" t="s">
        <v>814</v>
      </c>
    </row>
    <row r="20" spans="1:23" ht="15" customHeight="1">
      <c r="A20" s="180"/>
      <c r="B20" s="173" t="s">
        <v>76</v>
      </c>
      <c r="C20" s="1061" t="s">
        <v>77</v>
      </c>
      <c r="D20" s="1061"/>
      <c r="E20" s="1061"/>
      <c r="F20" s="1061"/>
      <c r="G20" s="171" t="s">
        <v>67</v>
      </c>
      <c r="H20" s="172">
        <v>1</v>
      </c>
      <c r="I20" s="168" t="s">
        <v>68</v>
      </c>
      <c r="J20" s="177">
        <v>1000000</v>
      </c>
      <c r="K20" s="177">
        <v>1000000</v>
      </c>
      <c r="L20" s="177">
        <v>668500</v>
      </c>
      <c r="M20" s="177">
        <v>668500</v>
      </c>
      <c r="N20" s="445">
        <f t="shared" si="1"/>
        <v>3337000</v>
      </c>
      <c r="O20" s="177">
        <v>1000000</v>
      </c>
      <c r="P20" s="177">
        <v>1000000</v>
      </c>
      <c r="Q20" s="177">
        <v>668500</v>
      </c>
      <c r="R20" s="445">
        <f t="shared" ref="R20:R25" si="5">M20</f>
        <v>668500</v>
      </c>
      <c r="S20" s="445">
        <f t="shared" si="3"/>
        <v>3337000</v>
      </c>
      <c r="T20" s="445">
        <f t="shared" si="4"/>
        <v>0</v>
      </c>
      <c r="U20" s="181">
        <f t="shared" si="2"/>
        <v>0</v>
      </c>
      <c r="V20" s="435"/>
      <c r="W20" s="78" t="s">
        <v>814</v>
      </c>
    </row>
    <row r="21" spans="1:23" ht="25.5" customHeight="1">
      <c r="A21" s="180"/>
      <c r="B21" s="173" t="s">
        <v>78</v>
      </c>
      <c r="C21" s="1056" t="s">
        <v>79</v>
      </c>
      <c r="D21" s="1056"/>
      <c r="E21" s="1056"/>
      <c r="F21" s="1056"/>
      <c r="G21" s="171" t="s">
        <v>67</v>
      </c>
      <c r="H21" s="172">
        <v>1</v>
      </c>
      <c r="I21" s="168" t="s">
        <v>68</v>
      </c>
      <c r="J21" s="177">
        <v>3000000</v>
      </c>
      <c r="K21" s="177">
        <v>3000000</v>
      </c>
      <c r="L21" s="177">
        <v>2360000</v>
      </c>
      <c r="M21" s="177">
        <v>2360000</v>
      </c>
      <c r="N21" s="445">
        <f t="shared" si="1"/>
        <v>10720000</v>
      </c>
      <c r="O21" s="177">
        <v>3000000</v>
      </c>
      <c r="P21" s="177">
        <v>3000000</v>
      </c>
      <c r="Q21" s="177">
        <v>2360000</v>
      </c>
      <c r="R21" s="445">
        <f t="shared" si="5"/>
        <v>2360000</v>
      </c>
      <c r="S21" s="445">
        <f t="shared" si="3"/>
        <v>10720000</v>
      </c>
      <c r="T21" s="445">
        <f t="shared" si="4"/>
        <v>0</v>
      </c>
      <c r="U21" s="181">
        <f t="shared" si="2"/>
        <v>0</v>
      </c>
      <c r="V21" s="435"/>
      <c r="W21" s="78" t="s">
        <v>814</v>
      </c>
    </row>
    <row r="22" spans="1:23" ht="21.75" customHeight="1">
      <c r="A22" s="180"/>
      <c r="B22" s="173" t="s">
        <v>80</v>
      </c>
      <c r="C22" s="1061" t="s">
        <v>81</v>
      </c>
      <c r="D22" s="1061"/>
      <c r="E22" s="1061"/>
      <c r="F22" s="1061"/>
      <c r="G22" s="171" t="s">
        <v>67</v>
      </c>
      <c r="H22" s="174">
        <v>1</v>
      </c>
      <c r="I22" s="175" t="s">
        <v>68</v>
      </c>
      <c r="J22" s="178">
        <v>945000</v>
      </c>
      <c r="K22" s="178">
        <v>945000</v>
      </c>
      <c r="L22" s="178">
        <v>945000</v>
      </c>
      <c r="M22" s="178">
        <v>945000</v>
      </c>
      <c r="N22" s="445">
        <f t="shared" si="1"/>
        <v>3780000</v>
      </c>
      <c r="O22" s="178">
        <v>945000</v>
      </c>
      <c r="P22" s="178">
        <v>945000</v>
      </c>
      <c r="Q22" s="178">
        <v>945000</v>
      </c>
      <c r="R22" s="445">
        <f t="shared" si="5"/>
        <v>945000</v>
      </c>
      <c r="S22" s="445">
        <f t="shared" si="3"/>
        <v>3780000</v>
      </c>
      <c r="T22" s="445">
        <f t="shared" si="4"/>
        <v>0</v>
      </c>
      <c r="U22" s="181">
        <f t="shared" si="2"/>
        <v>0</v>
      </c>
      <c r="V22" s="435"/>
      <c r="W22" s="78" t="s">
        <v>814</v>
      </c>
    </row>
    <row r="23" spans="1:23">
      <c r="A23" s="180"/>
      <c r="B23" s="170" t="s">
        <v>82</v>
      </c>
      <c r="C23" s="1058" t="s">
        <v>83</v>
      </c>
      <c r="D23" s="1059"/>
      <c r="E23" s="1059"/>
      <c r="F23" s="1060"/>
      <c r="G23" s="171" t="s">
        <v>67</v>
      </c>
      <c r="H23" s="172">
        <v>1</v>
      </c>
      <c r="I23" s="168" t="s">
        <v>68</v>
      </c>
      <c r="J23" s="177">
        <v>3000000</v>
      </c>
      <c r="K23" s="177">
        <v>3000000</v>
      </c>
      <c r="L23" s="177">
        <v>2500000</v>
      </c>
      <c r="M23" s="177">
        <v>2500000</v>
      </c>
      <c r="N23" s="445">
        <f t="shared" si="1"/>
        <v>11000000</v>
      </c>
      <c r="O23" s="177">
        <v>3000000</v>
      </c>
      <c r="P23" s="177">
        <v>3000000</v>
      </c>
      <c r="Q23" s="177">
        <v>2500000</v>
      </c>
      <c r="R23" s="445">
        <f t="shared" si="5"/>
        <v>2500000</v>
      </c>
      <c r="S23" s="445">
        <f t="shared" si="3"/>
        <v>11000000</v>
      </c>
      <c r="T23" s="445">
        <f t="shared" si="4"/>
        <v>0</v>
      </c>
      <c r="U23" s="181">
        <f t="shared" si="2"/>
        <v>0</v>
      </c>
      <c r="V23" s="435"/>
      <c r="W23" s="78" t="s">
        <v>814</v>
      </c>
    </row>
    <row r="24" spans="1:23" ht="21" customHeight="1">
      <c r="A24" s="180"/>
      <c r="B24" s="173" t="s">
        <v>84</v>
      </c>
      <c r="C24" s="1056" t="s">
        <v>85</v>
      </c>
      <c r="D24" s="1056"/>
      <c r="E24" s="1056"/>
      <c r="F24" s="1056"/>
      <c r="G24" s="171" t="s">
        <v>67</v>
      </c>
      <c r="H24" s="172">
        <v>1</v>
      </c>
      <c r="I24" s="168" t="s">
        <v>68</v>
      </c>
      <c r="J24" s="177">
        <v>40000000</v>
      </c>
      <c r="K24" s="177">
        <v>40000000</v>
      </c>
      <c r="L24" s="177">
        <v>25000000</v>
      </c>
      <c r="M24" s="177">
        <v>20000000</v>
      </c>
      <c r="N24" s="445">
        <f t="shared" si="1"/>
        <v>125000000</v>
      </c>
      <c r="O24" s="177">
        <v>40000000</v>
      </c>
      <c r="P24" s="177">
        <v>40000000</v>
      </c>
      <c r="Q24" s="177">
        <v>25000000</v>
      </c>
      <c r="R24" s="445">
        <f t="shared" si="5"/>
        <v>20000000</v>
      </c>
      <c r="S24" s="445">
        <f t="shared" si="3"/>
        <v>125000000</v>
      </c>
      <c r="T24" s="445">
        <f t="shared" si="4"/>
        <v>0</v>
      </c>
      <c r="U24" s="181">
        <f t="shared" si="2"/>
        <v>0</v>
      </c>
      <c r="V24" s="435"/>
      <c r="W24" s="78" t="s">
        <v>814</v>
      </c>
    </row>
    <row r="25" spans="1:23" ht="21" customHeight="1">
      <c r="A25" s="180"/>
      <c r="B25" s="173" t="s">
        <v>86</v>
      </c>
      <c r="C25" s="1056" t="s">
        <v>87</v>
      </c>
      <c r="D25" s="1056"/>
      <c r="E25" s="1056"/>
      <c r="F25" s="1056"/>
      <c r="G25" s="171" t="s">
        <v>67</v>
      </c>
      <c r="H25" s="172">
        <v>1</v>
      </c>
      <c r="I25" s="168" t="s">
        <v>68</v>
      </c>
      <c r="J25" s="177">
        <v>3000000</v>
      </c>
      <c r="K25" s="177">
        <v>3000000</v>
      </c>
      <c r="L25" s="177">
        <v>2650000</v>
      </c>
      <c r="M25" s="177">
        <v>2650000</v>
      </c>
      <c r="N25" s="445">
        <f t="shared" si="1"/>
        <v>11300000</v>
      </c>
      <c r="O25" s="177">
        <v>3000000</v>
      </c>
      <c r="P25" s="177">
        <v>3000000</v>
      </c>
      <c r="Q25" s="177">
        <v>2650000</v>
      </c>
      <c r="R25" s="445">
        <f t="shared" si="5"/>
        <v>2650000</v>
      </c>
      <c r="S25" s="445">
        <f t="shared" si="3"/>
        <v>11300000</v>
      </c>
      <c r="T25" s="445">
        <f t="shared" si="4"/>
        <v>0</v>
      </c>
      <c r="U25" s="181">
        <f t="shared" si="2"/>
        <v>0</v>
      </c>
      <c r="V25" s="435"/>
      <c r="W25" s="78" t="s">
        <v>814</v>
      </c>
    </row>
    <row r="26" spans="1:23" ht="21.75" customHeight="1">
      <c r="A26" s="180"/>
      <c r="B26" s="173" t="s">
        <v>88</v>
      </c>
      <c r="C26" s="1056" t="s">
        <v>89</v>
      </c>
      <c r="D26" s="1056"/>
      <c r="E26" s="1056"/>
      <c r="F26" s="1056"/>
      <c r="G26" s="171" t="s">
        <v>67</v>
      </c>
      <c r="H26" s="174">
        <v>1</v>
      </c>
      <c r="I26" s="175" t="s">
        <v>68</v>
      </c>
      <c r="J26" s="178">
        <v>6810000</v>
      </c>
      <c r="K26" s="178">
        <v>6810000</v>
      </c>
      <c r="L26" s="178">
        <v>6810000</v>
      </c>
      <c r="M26" s="178">
        <v>6810000</v>
      </c>
      <c r="N26" s="445">
        <f t="shared" si="1"/>
        <v>27240000</v>
      </c>
      <c r="O26" s="178">
        <v>6810000</v>
      </c>
      <c r="P26" s="178">
        <v>6810000</v>
      </c>
      <c r="Q26" s="178">
        <v>6810000</v>
      </c>
      <c r="R26" s="445">
        <f>M26+6300000</f>
        <v>13110000</v>
      </c>
      <c r="S26" s="445">
        <f t="shared" si="3"/>
        <v>33540000</v>
      </c>
      <c r="T26" s="445">
        <f t="shared" si="4"/>
        <v>6300000</v>
      </c>
      <c r="U26" s="181">
        <f t="shared" si="2"/>
        <v>23.127753303964756</v>
      </c>
      <c r="V26" s="435"/>
      <c r="W26" s="78" t="s">
        <v>814</v>
      </c>
    </row>
    <row r="27" spans="1:23" ht="23.25" customHeight="1">
      <c r="A27" s="180"/>
      <c r="B27" s="173" t="s">
        <v>90</v>
      </c>
      <c r="C27" s="1068" t="s">
        <v>91</v>
      </c>
      <c r="D27" s="1069"/>
      <c r="E27" s="1069"/>
      <c r="F27" s="1070"/>
      <c r="G27" s="171" t="s">
        <v>67</v>
      </c>
      <c r="H27" s="172">
        <v>1</v>
      </c>
      <c r="I27" s="168" t="s">
        <v>68</v>
      </c>
      <c r="J27" s="177">
        <v>0</v>
      </c>
      <c r="K27" s="177">
        <v>3210000</v>
      </c>
      <c r="L27" s="177">
        <f>K27</f>
        <v>3210000</v>
      </c>
      <c r="M27" s="177">
        <f>L27</f>
        <v>3210000</v>
      </c>
      <c r="N27" s="445">
        <f t="shared" si="1"/>
        <v>9630000</v>
      </c>
      <c r="O27" s="177">
        <v>0</v>
      </c>
      <c r="P27" s="177">
        <v>3210000</v>
      </c>
      <c r="Q27" s="177">
        <f>P27</f>
        <v>3210000</v>
      </c>
      <c r="R27" s="445">
        <f>M27</f>
        <v>3210000</v>
      </c>
      <c r="S27" s="445">
        <f t="shared" si="3"/>
        <v>9630000</v>
      </c>
      <c r="T27" s="445">
        <f t="shared" si="4"/>
        <v>0</v>
      </c>
      <c r="U27" s="181">
        <f t="shared" si="2"/>
        <v>0</v>
      </c>
      <c r="V27" s="435"/>
      <c r="W27" s="78" t="s">
        <v>814</v>
      </c>
    </row>
    <row r="28" spans="1:23" ht="26.25" customHeight="1">
      <c r="A28" s="225" t="s">
        <v>92</v>
      </c>
      <c r="B28" s="171"/>
      <c r="C28" s="1057" t="s">
        <v>93</v>
      </c>
      <c r="D28" s="1057"/>
      <c r="E28" s="1057"/>
      <c r="F28" s="1057"/>
      <c r="G28" s="171"/>
      <c r="H28" s="168"/>
      <c r="I28" s="168"/>
      <c r="J28" s="176">
        <f>J29+J30+J31+J32</f>
        <v>37955000</v>
      </c>
      <c r="K28" s="176">
        <f>K29+K30+K31+K32</f>
        <v>32455000</v>
      </c>
      <c r="L28" s="176">
        <f>L29+L30+L31+L32</f>
        <v>34692500</v>
      </c>
      <c r="M28" s="176">
        <f>M29+M30+M31+M32</f>
        <v>34192500</v>
      </c>
      <c r="N28" s="442">
        <f t="shared" si="1"/>
        <v>139295000</v>
      </c>
      <c r="O28" s="176">
        <f>O29+O30+O31+O32</f>
        <v>37955000</v>
      </c>
      <c r="P28" s="176">
        <f>P29+P30+P31+P32</f>
        <v>32455000</v>
      </c>
      <c r="Q28" s="176">
        <f>Q29+Q30+Q31+Q32</f>
        <v>34692500</v>
      </c>
      <c r="R28" s="442">
        <f>SUM(R29:R32)</f>
        <v>275494300</v>
      </c>
      <c r="S28" s="442">
        <f>SUM(S29:S32)</f>
        <v>380596800</v>
      </c>
      <c r="T28" s="442">
        <f>S28-N28</f>
        <v>241301800</v>
      </c>
      <c r="U28" s="181">
        <f t="shared" si="2"/>
        <v>173.23076923076923</v>
      </c>
      <c r="V28" s="434"/>
      <c r="W28" s="78"/>
    </row>
    <row r="29" spans="1:23" ht="23.25" customHeight="1">
      <c r="A29" s="180"/>
      <c r="B29" s="173" t="s">
        <v>94</v>
      </c>
      <c r="C29" s="1056" t="s">
        <v>95</v>
      </c>
      <c r="D29" s="1056"/>
      <c r="E29" s="1056"/>
      <c r="F29" s="1056"/>
      <c r="G29" s="171" t="s">
        <v>67</v>
      </c>
      <c r="H29" s="174">
        <v>1</v>
      </c>
      <c r="I29" s="175" t="s">
        <v>68</v>
      </c>
      <c r="J29" s="178">
        <v>19955000</v>
      </c>
      <c r="K29" s="178">
        <v>19955000</v>
      </c>
      <c r="L29" s="178">
        <f>K29</f>
        <v>19955000</v>
      </c>
      <c r="M29" s="178">
        <f>L29</f>
        <v>19955000</v>
      </c>
      <c r="N29" s="445">
        <f t="shared" si="1"/>
        <v>79820000</v>
      </c>
      <c r="O29" s="178">
        <v>19955000</v>
      </c>
      <c r="P29" s="178">
        <v>19955000</v>
      </c>
      <c r="Q29" s="178">
        <f>P29</f>
        <v>19955000</v>
      </c>
      <c r="R29" s="445">
        <f>M29+229301800</f>
        <v>249256800</v>
      </c>
      <c r="S29" s="445">
        <f t="shared" si="3"/>
        <v>309121800</v>
      </c>
      <c r="T29" s="445">
        <f>S29-N29</f>
        <v>229301800</v>
      </c>
      <c r="U29" s="181">
        <f t="shared" si="2"/>
        <v>287.27361563517917</v>
      </c>
      <c r="V29" s="414"/>
      <c r="W29" s="78" t="s">
        <v>814</v>
      </c>
    </row>
    <row r="30" spans="1:23" ht="21.75" customHeight="1">
      <c r="A30" s="180"/>
      <c r="B30" s="173" t="s">
        <v>96</v>
      </c>
      <c r="C30" s="1061" t="s">
        <v>97</v>
      </c>
      <c r="D30" s="1061"/>
      <c r="E30" s="1061"/>
      <c r="F30" s="1061"/>
      <c r="G30" s="171" t="s">
        <v>67</v>
      </c>
      <c r="H30" s="174">
        <v>1</v>
      </c>
      <c r="I30" s="175" t="s">
        <v>68</v>
      </c>
      <c r="J30" s="178">
        <v>15000000</v>
      </c>
      <c r="K30" s="178">
        <v>10000000</v>
      </c>
      <c r="L30" s="178">
        <v>12475000</v>
      </c>
      <c r="M30" s="178">
        <v>12475000</v>
      </c>
      <c r="N30" s="445">
        <f t="shared" si="1"/>
        <v>49950000</v>
      </c>
      <c r="O30" s="178">
        <v>15000000</v>
      </c>
      <c r="P30" s="178">
        <v>10000000</v>
      </c>
      <c r="Q30" s="178">
        <v>12475000</v>
      </c>
      <c r="R30" s="445">
        <f>M30+12000000</f>
        <v>24475000</v>
      </c>
      <c r="S30" s="445">
        <f t="shared" si="3"/>
        <v>61950000</v>
      </c>
      <c r="T30" s="445">
        <f t="shared" si="4"/>
        <v>12000000</v>
      </c>
      <c r="U30" s="181">
        <f t="shared" si="2"/>
        <v>24.024024024024023</v>
      </c>
      <c r="V30" s="414"/>
      <c r="W30" s="78" t="s">
        <v>814</v>
      </c>
    </row>
    <row r="31" spans="1:23" ht="23.25" customHeight="1">
      <c r="A31" s="180"/>
      <c r="B31" s="173" t="s">
        <v>98</v>
      </c>
      <c r="C31" s="1056" t="s">
        <v>99</v>
      </c>
      <c r="D31" s="1056"/>
      <c r="E31" s="1056"/>
      <c r="F31" s="1056"/>
      <c r="G31" s="171" t="s">
        <v>67</v>
      </c>
      <c r="H31" s="174">
        <v>1</v>
      </c>
      <c r="I31" s="175" t="s">
        <v>68</v>
      </c>
      <c r="J31" s="178">
        <v>2000000</v>
      </c>
      <c r="K31" s="178">
        <v>1500000</v>
      </c>
      <c r="L31" s="178">
        <v>1762500</v>
      </c>
      <c r="M31" s="178">
        <v>1762500</v>
      </c>
      <c r="N31" s="445">
        <f t="shared" si="1"/>
        <v>7025000</v>
      </c>
      <c r="O31" s="178">
        <v>2000000</v>
      </c>
      <c r="P31" s="178">
        <v>1500000</v>
      </c>
      <c r="Q31" s="178">
        <v>1762500</v>
      </c>
      <c r="R31" s="445">
        <f>M31</f>
        <v>1762500</v>
      </c>
      <c r="S31" s="445">
        <f t="shared" si="3"/>
        <v>7025000</v>
      </c>
      <c r="T31" s="445">
        <f t="shared" si="4"/>
        <v>0</v>
      </c>
      <c r="U31" s="181">
        <f t="shared" si="2"/>
        <v>0</v>
      </c>
      <c r="V31" s="414"/>
      <c r="W31" s="78"/>
    </row>
    <row r="32" spans="1:23" ht="24.75" customHeight="1">
      <c r="A32" s="180"/>
      <c r="B32" s="173" t="s">
        <v>100</v>
      </c>
      <c r="C32" s="1056" t="s">
        <v>101</v>
      </c>
      <c r="D32" s="1056"/>
      <c r="E32" s="1056"/>
      <c r="F32" s="1056"/>
      <c r="G32" s="171" t="s">
        <v>67</v>
      </c>
      <c r="H32" s="174">
        <v>1</v>
      </c>
      <c r="I32" s="175" t="s">
        <v>68</v>
      </c>
      <c r="J32" s="178">
        <v>1000000</v>
      </c>
      <c r="K32" s="178">
        <v>1000000</v>
      </c>
      <c r="L32" s="178">
        <v>500000</v>
      </c>
      <c r="M32" s="178">
        <v>0</v>
      </c>
      <c r="N32" s="445">
        <f t="shared" si="1"/>
        <v>2500000</v>
      </c>
      <c r="O32" s="178">
        <v>1000000</v>
      </c>
      <c r="P32" s="178">
        <v>1000000</v>
      </c>
      <c r="Q32" s="178">
        <v>500000</v>
      </c>
      <c r="R32" s="445">
        <f>M32</f>
        <v>0</v>
      </c>
      <c r="S32" s="445">
        <f t="shared" si="3"/>
        <v>2500000</v>
      </c>
      <c r="T32" s="445">
        <f t="shared" si="4"/>
        <v>0</v>
      </c>
      <c r="U32" s="181">
        <f t="shared" si="2"/>
        <v>0</v>
      </c>
      <c r="V32" s="414"/>
      <c r="W32" s="78"/>
    </row>
    <row r="33" spans="1:23" ht="24.75" customHeight="1">
      <c r="A33" s="408" t="s">
        <v>842</v>
      </c>
      <c r="B33" s="342"/>
      <c r="C33" s="1071" t="s">
        <v>102</v>
      </c>
      <c r="D33" s="1072"/>
      <c r="E33" s="1072"/>
      <c r="F33" s="1073"/>
      <c r="G33" s="171"/>
      <c r="H33" s="174"/>
      <c r="I33" s="175"/>
      <c r="J33" s="368">
        <f>SUM(J34:J40)</f>
        <v>260000000</v>
      </c>
      <c r="K33" s="368">
        <f>SUM(K34:K41)</f>
        <v>995000000</v>
      </c>
      <c r="L33" s="368">
        <f>SUM(L34:L40)</f>
        <v>1170000000</v>
      </c>
      <c r="M33" s="368">
        <f>SUM(M34:M40)</f>
        <v>125000000</v>
      </c>
      <c r="N33" s="446">
        <f t="shared" si="1"/>
        <v>2550000000</v>
      </c>
      <c r="O33" s="368">
        <f>SUM(O34:O40)</f>
        <v>260000000</v>
      </c>
      <c r="P33" s="368">
        <f>SUM(P34:P40)</f>
        <v>995000000</v>
      </c>
      <c r="Q33" s="368">
        <f>SUM(Q34:Q40)</f>
        <v>1170000000</v>
      </c>
      <c r="R33" s="454">
        <f>SUM(R34:R41)+R42+R43</f>
        <v>430000000</v>
      </c>
      <c r="S33" s="446">
        <f>S34+S35+S36+S37+S38+S39+S41+S42+S43</f>
        <v>2855000000</v>
      </c>
      <c r="T33" s="442">
        <f>S33-N33</f>
        <v>305000000</v>
      </c>
      <c r="U33" s="181">
        <f t="shared" si="2"/>
        <v>11.96078431372549</v>
      </c>
      <c r="V33" s="436"/>
      <c r="W33" s="78">
        <f>O33+P33+Q33</f>
        <v>2425000000</v>
      </c>
    </row>
    <row r="34" spans="1:23" ht="24.75" customHeight="1">
      <c r="A34" s="221"/>
      <c r="B34" s="342" t="s">
        <v>755</v>
      </c>
      <c r="C34" s="1065" t="s">
        <v>515</v>
      </c>
      <c r="D34" s="1066"/>
      <c r="E34" s="1066"/>
      <c r="F34" s="1067"/>
      <c r="G34" s="171" t="s">
        <v>67</v>
      </c>
      <c r="H34" s="174">
        <v>1</v>
      </c>
      <c r="I34" s="175" t="s">
        <v>68</v>
      </c>
      <c r="J34" s="343">
        <v>125000000</v>
      </c>
      <c r="K34" s="343">
        <v>25000000</v>
      </c>
      <c r="L34" s="343">
        <v>0</v>
      </c>
      <c r="M34" s="343">
        <v>0</v>
      </c>
      <c r="N34" s="447">
        <f t="shared" si="1"/>
        <v>150000000</v>
      </c>
      <c r="O34" s="343">
        <v>125000000</v>
      </c>
      <c r="P34" s="343">
        <v>25000000</v>
      </c>
      <c r="Q34" s="343">
        <v>0</v>
      </c>
      <c r="R34" s="455">
        <f>M34</f>
        <v>0</v>
      </c>
      <c r="S34" s="447">
        <f t="shared" si="3"/>
        <v>150000000</v>
      </c>
      <c r="T34" s="445">
        <f t="shared" si="4"/>
        <v>0</v>
      </c>
      <c r="U34" s="181">
        <f t="shared" si="2"/>
        <v>0</v>
      </c>
      <c r="V34" s="414"/>
      <c r="W34" s="78">
        <f>4695000000-W33</f>
        <v>2270000000</v>
      </c>
    </row>
    <row r="35" spans="1:23" ht="24.75" customHeight="1">
      <c r="A35" s="221"/>
      <c r="B35" s="342" t="s">
        <v>756</v>
      </c>
      <c r="C35" s="1074" t="s">
        <v>758</v>
      </c>
      <c r="D35" s="1075"/>
      <c r="E35" s="1075"/>
      <c r="F35" s="1076"/>
      <c r="G35" s="171" t="s">
        <v>67</v>
      </c>
      <c r="H35" s="174">
        <v>1</v>
      </c>
      <c r="I35" s="175" t="s">
        <v>68</v>
      </c>
      <c r="J35" s="343">
        <v>50000000</v>
      </c>
      <c r="K35" s="343">
        <v>50000000</v>
      </c>
      <c r="L35" s="343">
        <v>0</v>
      </c>
      <c r="M35" s="343">
        <v>0</v>
      </c>
      <c r="N35" s="447">
        <f t="shared" si="1"/>
        <v>100000000</v>
      </c>
      <c r="O35" s="343">
        <v>50000000</v>
      </c>
      <c r="P35" s="343">
        <v>50000000</v>
      </c>
      <c r="Q35" s="343">
        <v>0</v>
      </c>
      <c r="R35" s="455">
        <f>M35+50000000</f>
        <v>50000000</v>
      </c>
      <c r="S35" s="447">
        <f t="shared" si="3"/>
        <v>150000000</v>
      </c>
      <c r="T35" s="445">
        <f>S35-N35</f>
        <v>50000000</v>
      </c>
      <c r="U35" s="181">
        <f t="shared" si="2"/>
        <v>50</v>
      </c>
      <c r="V35" s="414"/>
      <c r="W35" s="78"/>
    </row>
    <row r="36" spans="1:23" ht="24.75" customHeight="1">
      <c r="A36" s="221"/>
      <c r="B36" s="342" t="s">
        <v>757</v>
      </c>
      <c r="C36" s="1065" t="s">
        <v>655</v>
      </c>
      <c r="D36" s="1066"/>
      <c r="E36" s="1066"/>
      <c r="F36" s="1067"/>
      <c r="G36" s="171" t="s">
        <v>67</v>
      </c>
      <c r="H36" s="174">
        <v>1</v>
      </c>
      <c r="I36" s="175" t="s">
        <v>68</v>
      </c>
      <c r="J36" s="343">
        <v>40000000</v>
      </c>
      <c r="K36" s="343">
        <v>55000000</v>
      </c>
      <c r="L36" s="343">
        <v>5000000</v>
      </c>
      <c r="M36" s="343">
        <v>0</v>
      </c>
      <c r="N36" s="447">
        <f t="shared" si="1"/>
        <v>100000000</v>
      </c>
      <c r="O36" s="343">
        <v>40000000</v>
      </c>
      <c r="P36" s="343">
        <v>55000000</v>
      </c>
      <c r="Q36" s="343">
        <v>5000000</v>
      </c>
      <c r="R36" s="465">
        <f>M36</f>
        <v>0</v>
      </c>
      <c r="S36" s="447">
        <f t="shared" si="3"/>
        <v>100000000</v>
      </c>
      <c r="T36" s="445">
        <f t="shared" si="4"/>
        <v>0</v>
      </c>
      <c r="U36" s="181">
        <f t="shared" si="2"/>
        <v>0</v>
      </c>
      <c r="V36" s="414"/>
      <c r="W36" s="78"/>
    </row>
    <row r="37" spans="1:23" ht="24.75" customHeight="1">
      <c r="A37" s="221"/>
      <c r="B37" s="342" t="s">
        <v>760</v>
      </c>
      <c r="C37" s="1065" t="s">
        <v>759</v>
      </c>
      <c r="D37" s="1066"/>
      <c r="E37" s="1066"/>
      <c r="F37" s="1067"/>
      <c r="G37" s="171" t="s">
        <v>67</v>
      </c>
      <c r="H37" s="174">
        <v>1</v>
      </c>
      <c r="I37" s="175" t="s">
        <v>68</v>
      </c>
      <c r="J37" s="343">
        <v>25000000</v>
      </c>
      <c r="K37" s="343">
        <v>25000000</v>
      </c>
      <c r="L37" s="343">
        <v>25000000</v>
      </c>
      <c r="M37" s="343">
        <v>25000000</v>
      </c>
      <c r="N37" s="447">
        <f t="shared" si="1"/>
        <v>100000000</v>
      </c>
      <c r="O37" s="343">
        <v>25000000</v>
      </c>
      <c r="P37" s="343">
        <v>25000000</v>
      </c>
      <c r="Q37" s="343">
        <v>25000000</v>
      </c>
      <c r="R37" s="455">
        <f>M37</f>
        <v>25000000</v>
      </c>
      <c r="S37" s="447">
        <f t="shared" si="3"/>
        <v>100000000</v>
      </c>
      <c r="T37" s="445">
        <f t="shared" si="4"/>
        <v>0</v>
      </c>
      <c r="U37" s="181">
        <f t="shared" si="2"/>
        <v>0</v>
      </c>
      <c r="V37" s="414"/>
      <c r="W37" s="78"/>
    </row>
    <row r="38" spans="1:23" ht="24.75" customHeight="1">
      <c r="A38" s="221"/>
      <c r="B38" s="342" t="s">
        <v>761</v>
      </c>
      <c r="C38" s="1065" t="s">
        <v>763</v>
      </c>
      <c r="D38" s="1066"/>
      <c r="E38" s="1066"/>
      <c r="F38" s="1067"/>
      <c r="G38" s="171" t="s">
        <v>67</v>
      </c>
      <c r="H38" s="174">
        <v>1</v>
      </c>
      <c r="I38" s="175" t="s">
        <v>68</v>
      </c>
      <c r="J38" s="343">
        <v>20000000</v>
      </c>
      <c r="K38" s="343">
        <v>40000000</v>
      </c>
      <c r="L38" s="343">
        <f>K38</f>
        <v>40000000</v>
      </c>
      <c r="M38" s="343">
        <v>0</v>
      </c>
      <c r="N38" s="447">
        <f t="shared" si="1"/>
        <v>100000000</v>
      </c>
      <c r="O38" s="343">
        <v>20000000</v>
      </c>
      <c r="P38" s="343">
        <v>40000000</v>
      </c>
      <c r="Q38" s="343">
        <f>P38</f>
        <v>40000000</v>
      </c>
      <c r="R38" s="465">
        <f>M38</f>
        <v>0</v>
      </c>
      <c r="S38" s="447">
        <f t="shared" si="3"/>
        <v>100000000</v>
      </c>
      <c r="T38" s="445">
        <f t="shared" si="4"/>
        <v>0</v>
      </c>
      <c r="U38" s="181">
        <f t="shared" si="2"/>
        <v>0</v>
      </c>
      <c r="V38" s="414"/>
      <c r="W38" s="78">
        <f>7916544300+4355194168</f>
        <v>12271738468</v>
      </c>
    </row>
    <row r="39" spans="1:23" ht="24.75" customHeight="1">
      <c r="A39" s="221"/>
      <c r="B39" s="342" t="s">
        <v>762</v>
      </c>
      <c r="C39" s="1065" t="s">
        <v>764</v>
      </c>
      <c r="D39" s="1066"/>
      <c r="E39" s="1066"/>
      <c r="F39" s="1067"/>
      <c r="G39" s="171" t="s">
        <v>67</v>
      </c>
      <c r="H39" s="174">
        <v>1</v>
      </c>
      <c r="I39" s="175" t="s">
        <v>68</v>
      </c>
      <c r="J39" s="343">
        <v>0</v>
      </c>
      <c r="K39" s="343">
        <v>800000000</v>
      </c>
      <c r="L39" s="343">
        <v>1100000000</v>
      </c>
      <c r="M39" s="343">
        <v>100000000</v>
      </c>
      <c r="N39" s="447">
        <f t="shared" si="1"/>
        <v>2000000000</v>
      </c>
      <c r="O39" s="343">
        <v>0</v>
      </c>
      <c r="P39" s="343">
        <v>800000000</v>
      </c>
      <c r="Q39" s="343">
        <v>1100000000</v>
      </c>
      <c r="R39" s="455">
        <f>M39</f>
        <v>100000000</v>
      </c>
      <c r="S39" s="447">
        <f t="shared" si="3"/>
        <v>2000000000</v>
      </c>
      <c r="T39" s="445">
        <f t="shared" si="4"/>
        <v>0</v>
      </c>
      <c r="U39" s="181">
        <f t="shared" si="2"/>
        <v>0</v>
      </c>
      <c r="V39" s="414"/>
      <c r="W39" s="78"/>
    </row>
    <row r="40" spans="1:23" ht="24.75" customHeight="1">
      <c r="A40" s="221"/>
      <c r="B40" s="342" t="s">
        <v>765</v>
      </c>
      <c r="C40" s="1065" t="s">
        <v>766</v>
      </c>
      <c r="D40" s="1066"/>
      <c r="E40" s="1066"/>
      <c r="F40" s="1067"/>
      <c r="G40" s="171" t="s">
        <v>67</v>
      </c>
      <c r="H40" s="174">
        <v>1</v>
      </c>
      <c r="I40" s="175" t="s">
        <v>68</v>
      </c>
      <c r="J40" s="343">
        <v>0</v>
      </c>
      <c r="K40" s="343">
        <v>0</v>
      </c>
      <c r="L40" s="343">
        <v>0</v>
      </c>
      <c r="M40" s="343">
        <v>0</v>
      </c>
      <c r="N40" s="447">
        <f>J40+K40+L40+M40</f>
        <v>0</v>
      </c>
      <c r="O40" s="343">
        <v>0</v>
      </c>
      <c r="P40" s="343">
        <v>0</v>
      </c>
      <c r="Q40" s="343">
        <v>0</v>
      </c>
      <c r="R40" s="455">
        <v>0</v>
      </c>
      <c r="S40" s="445"/>
      <c r="T40" s="455">
        <f>S40-N40</f>
        <v>0</v>
      </c>
      <c r="U40" s="181"/>
      <c r="V40" s="414"/>
      <c r="W40" s="78"/>
    </row>
    <row r="41" spans="1:23" ht="28.5" customHeight="1">
      <c r="A41" s="171"/>
      <c r="B41" s="173" t="s">
        <v>853</v>
      </c>
      <c r="C41" s="1287" t="s">
        <v>857</v>
      </c>
      <c r="D41" s="1288"/>
      <c r="E41" s="1288"/>
      <c r="F41" s="1289"/>
      <c r="G41" s="463" t="s">
        <v>67</v>
      </c>
      <c r="H41" s="464">
        <v>1</v>
      </c>
      <c r="I41" s="461" t="s">
        <v>68</v>
      </c>
      <c r="J41" s="462">
        <v>0</v>
      </c>
      <c r="K41" s="462">
        <v>0</v>
      </c>
      <c r="L41" s="460">
        <v>0</v>
      </c>
      <c r="M41" s="462">
        <v>0</v>
      </c>
      <c r="N41" s="462">
        <v>0</v>
      </c>
      <c r="O41" s="462">
        <v>0</v>
      </c>
      <c r="P41" s="459">
        <v>0</v>
      </c>
      <c r="Q41" s="462">
        <v>0</v>
      </c>
      <c r="R41" s="483">
        <v>150000000</v>
      </c>
      <c r="S41" s="483">
        <f>O41+P41+Q41+R41</f>
        <v>150000000</v>
      </c>
      <c r="T41" s="483">
        <f>S41-N41</f>
        <v>150000000</v>
      </c>
      <c r="U41" s="181">
        <v>100</v>
      </c>
      <c r="V41" s="414"/>
      <c r="W41" s="78"/>
    </row>
    <row r="42" spans="1:23" ht="24.75" customHeight="1">
      <c r="A42" s="167"/>
      <c r="B42" s="342" t="s">
        <v>855</v>
      </c>
      <c r="C42" s="1065" t="s">
        <v>858</v>
      </c>
      <c r="D42" s="1066"/>
      <c r="E42" s="1066"/>
      <c r="F42" s="1067"/>
      <c r="G42" s="463" t="s">
        <v>67</v>
      </c>
      <c r="H42" s="464">
        <v>1</v>
      </c>
      <c r="I42" s="461" t="s">
        <v>68</v>
      </c>
      <c r="J42" s="343">
        <v>0</v>
      </c>
      <c r="K42" s="343">
        <v>0</v>
      </c>
      <c r="L42" s="343">
        <v>0</v>
      </c>
      <c r="M42" s="343">
        <v>0</v>
      </c>
      <c r="N42" s="447">
        <v>0</v>
      </c>
      <c r="O42" s="455">
        <v>0</v>
      </c>
      <c r="P42" s="455">
        <v>0</v>
      </c>
      <c r="Q42" s="455">
        <v>0</v>
      </c>
      <c r="R42" s="455">
        <v>75000000</v>
      </c>
      <c r="S42" s="483">
        <f>O42+P42+Q42+R42</f>
        <v>75000000</v>
      </c>
      <c r="T42" s="483">
        <f t="shared" ref="T42:T52" si="6">S42-N42</f>
        <v>75000000</v>
      </c>
      <c r="U42" s="344">
        <v>100</v>
      </c>
      <c r="V42" s="414"/>
      <c r="W42" s="78"/>
    </row>
    <row r="43" spans="1:23" ht="24.75" customHeight="1">
      <c r="A43" s="167"/>
      <c r="B43" s="342" t="s">
        <v>859</v>
      </c>
      <c r="C43" s="1065" t="s">
        <v>860</v>
      </c>
      <c r="D43" s="1066"/>
      <c r="E43" s="1066"/>
      <c r="F43" s="1067"/>
      <c r="G43" s="463" t="s">
        <v>67</v>
      </c>
      <c r="H43" s="464">
        <v>1</v>
      </c>
      <c r="I43" s="461" t="s">
        <v>68</v>
      </c>
      <c r="J43" s="343">
        <v>0</v>
      </c>
      <c r="K43" s="343">
        <v>0</v>
      </c>
      <c r="L43" s="343">
        <v>0</v>
      </c>
      <c r="M43" s="343">
        <v>0</v>
      </c>
      <c r="N43" s="447">
        <v>0</v>
      </c>
      <c r="O43" s="455">
        <v>0</v>
      </c>
      <c r="P43" s="455">
        <v>0</v>
      </c>
      <c r="Q43" s="455">
        <v>0</v>
      </c>
      <c r="R43" s="455">
        <v>30000000</v>
      </c>
      <c r="S43" s="483">
        <f>O43+P43+Q43+R43</f>
        <v>30000000</v>
      </c>
      <c r="T43" s="483">
        <f t="shared" si="6"/>
        <v>30000000</v>
      </c>
      <c r="U43" s="344">
        <v>100</v>
      </c>
      <c r="V43" s="414"/>
      <c r="W43" s="78"/>
    </row>
    <row r="44" spans="1:23" ht="22.5" customHeight="1">
      <c r="A44" s="228" t="s">
        <v>841</v>
      </c>
      <c r="B44" s="342"/>
      <c r="C44" s="1071" t="s">
        <v>658</v>
      </c>
      <c r="D44" s="1072"/>
      <c r="E44" s="1072"/>
      <c r="F44" s="1073"/>
      <c r="G44" s="365"/>
      <c r="H44" s="366"/>
      <c r="I44" s="367"/>
      <c r="J44" s="368">
        <f>SUM(J45:J51)</f>
        <v>100000000</v>
      </c>
      <c r="K44" s="368">
        <f>SUM(K45:K51)</f>
        <v>600000000</v>
      </c>
      <c r="L44" s="368">
        <f>SUM(L45:L51)</f>
        <v>25000000</v>
      </c>
      <c r="M44" s="368">
        <f>SUM(M45:M51)</f>
        <v>0</v>
      </c>
      <c r="N44" s="446">
        <f t="shared" si="1"/>
        <v>725000000</v>
      </c>
      <c r="O44" s="368">
        <f>SUM(O45:O51)</f>
        <v>100000000</v>
      </c>
      <c r="P44" s="368">
        <f>SUM(P45:P51)</f>
        <v>600000000</v>
      </c>
      <c r="Q44" s="368">
        <f>SUM(Q45:Q51)</f>
        <v>25000000</v>
      </c>
      <c r="R44" s="454">
        <f>SUM(R45:R55)</f>
        <v>790000000</v>
      </c>
      <c r="S44" s="454">
        <f>S45+S47+S48+S49+S50+S51+S52+S53+S54+S55+S56</f>
        <v>1552432500</v>
      </c>
      <c r="T44" s="484">
        <f>SUM(T45:T56)</f>
        <v>827432500</v>
      </c>
      <c r="U44" s="369"/>
      <c r="V44" s="437"/>
      <c r="W44" s="78"/>
    </row>
    <row r="45" spans="1:23" ht="21.75" customHeight="1">
      <c r="A45" s="221"/>
      <c r="B45" s="342" t="s">
        <v>659</v>
      </c>
      <c r="C45" s="1065" t="s">
        <v>660</v>
      </c>
      <c r="D45" s="1066"/>
      <c r="E45" s="1066"/>
      <c r="F45" s="1067"/>
      <c r="G45" s="171" t="s">
        <v>67</v>
      </c>
      <c r="H45" s="174">
        <v>1</v>
      </c>
      <c r="I45" s="175" t="s">
        <v>68</v>
      </c>
      <c r="J45" s="343">
        <v>0</v>
      </c>
      <c r="K45" s="343">
        <v>50000000</v>
      </c>
      <c r="L45" s="343">
        <v>0</v>
      </c>
      <c r="M45" s="343">
        <v>0</v>
      </c>
      <c r="N45" s="447">
        <f t="shared" si="1"/>
        <v>50000000</v>
      </c>
      <c r="O45" s="343">
        <v>0</v>
      </c>
      <c r="P45" s="343">
        <v>50000000</v>
      </c>
      <c r="Q45" s="343">
        <v>0</v>
      </c>
      <c r="R45" s="455">
        <f>M45</f>
        <v>0</v>
      </c>
      <c r="S45" s="455">
        <f>O45+P45+Q45+R45</f>
        <v>50000000</v>
      </c>
      <c r="T45" s="462">
        <f t="shared" si="6"/>
        <v>0</v>
      </c>
      <c r="U45" s="344"/>
      <c r="V45" s="414"/>
      <c r="W45" s="78"/>
    </row>
    <row r="46" spans="1:23" ht="21.75" customHeight="1">
      <c r="A46" s="1310" t="s">
        <v>909</v>
      </c>
      <c r="B46" s="1311"/>
      <c r="C46" s="1311"/>
      <c r="D46" s="1311"/>
      <c r="E46" s="1311"/>
      <c r="F46" s="1311"/>
      <c r="G46" s="1311"/>
      <c r="H46" s="1311"/>
      <c r="I46" s="1311"/>
      <c r="J46" s="1311"/>
      <c r="K46" s="1312"/>
      <c r="L46" s="1313" t="s">
        <v>910</v>
      </c>
      <c r="M46" s="1314"/>
      <c r="N46" s="1314"/>
      <c r="O46" s="1315"/>
      <c r="P46" s="1313" t="s">
        <v>911</v>
      </c>
      <c r="Q46" s="1314"/>
      <c r="R46" s="1314"/>
      <c r="S46" s="1314"/>
      <c r="T46" s="1314"/>
      <c r="U46" s="1315"/>
      <c r="V46" s="414"/>
      <c r="W46" s="78"/>
    </row>
    <row r="47" spans="1:23" ht="27.75" customHeight="1">
      <c r="A47" s="221"/>
      <c r="B47" s="342" t="s">
        <v>653</v>
      </c>
      <c r="C47" s="1065" t="s">
        <v>661</v>
      </c>
      <c r="D47" s="1066"/>
      <c r="E47" s="1066"/>
      <c r="F47" s="1067"/>
      <c r="G47" s="171" t="s">
        <v>67</v>
      </c>
      <c r="H47" s="174">
        <v>1</v>
      </c>
      <c r="I47" s="175" t="s">
        <v>68</v>
      </c>
      <c r="J47" s="343">
        <v>0</v>
      </c>
      <c r="K47" s="343">
        <v>200000000</v>
      </c>
      <c r="L47" s="343">
        <v>0</v>
      </c>
      <c r="M47" s="343">
        <v>0</v>
      </c>
      <c r="N47" s="447">
        <f t="shared" si="1"/>
        <v>200000000</v>
      </c>
      <c r="O47" s="343">
        <v>0</v>
      </c>
      <c r="P47" s="343">
        <v>200000000</v>
      </c>
      <c r="Q47" s="343">
        <v>0</v>
      </c>
      <c r="R47" s="455">
        <f>M47</f>
        <v>0</v>
      </c>
      <c r="S47" s="455">
        <f t="shared" ref="S47:S89" si="7">O47+P47+Q47+R47</f>
        <v>200000000</v>
      </c>
      <c r="T47" s="462">
        <f t="shared" si="6"/>
        <v>0</v>
      </c>
      <c r="U47" s="344"/>
      <c r="V47" s="414"/>
      <c r="W47" s="78"/>
    </row>
    <row r="48" spans="1:23" ht="24" customHeight="1">
      <c r="A48" s="221"/>
      <c r="B48" s="342" t="s">
        <v>514</v>
      </c>
      <c r="C48" s="1065" t="s">
        <v>662</v>
      </c>
      <c r="D48" s="1066"/>
      <c r="E48" s="1066"/>
      <c r="F48" s="1067"/>
      <c r="G48" s="171" t="s">
        <v>67</v>
      </c>
      <c r="H48" s="174">
        <v>1</v>
      </c>
      <c r="I48" s="175" t="s">
        <v>68</v>
      </c>
      <c r="J48" s="343">
        <v>0</v>
      </c>
      <c r="K48" s="343">
        <v>0</v>
      </c>
      <c r="L48" s="343">
        <v>25000000</v>
      </c>
      <c r="M48" s="343">
        <v>0</v>
      </c>
      <c r="N48" s="447">
        <f t="shared" si="1"/>
        <v>25000000</v>
      </c>
      <c r="O48" s="343">
        <v>0</v>
      </c>
      <c r="P48" s="343">
        <v>0</v>
      </c>
      <c r="Q48" s="343">
        <v>25000000</v>
      </c>
      <c r="R48" s="455">
        <f>M48</f>
        <v>0</v>
      </c>
      <c r="S48" s="455">
        <f t="shared" si="7"/>
        <v>25000000</v>
      </c>
      <c r="T48" s="462">
        <f t="shared" si="6"/>
        <v>0</v>
      </c>
      <c r="U48" s="344"/>
      <c r="V48" s="414"/>
      <c r="W48" s="78"/>
    </row>
    <row r="49" spans="1:23" ht="22.5" customHeight="1">
      <c r="A49" s="221"/>
      <c r="B49" s="342" t="s">
        <v>654</v>
      </c>
      <c r="C49" s="1065" t="s">
        <v>663</v>
      </c>
      <c r="D49" s="1066"/>
      <c r="E49" s="1066"/>
      <c r="F49" s="1067"/>
      <c r="G49" s="171" t="s">
        <v>67</v>
      </c>
      <c r="H49" s="174">
        <v>1</v>
      </c>
      <c r="I49" s="175" t="s">
        <v>68</v>
      </c>
      <c r="J49" s="343">
        <v>100000000</v>
      </c>
      <c r="K49" s="343">
        <v>0</v>
      </c>
      <c r="L49" s="343">
        <v>0</v>
      </c>
      <c r="M49" s="343">
        <v>0</v>
      </c>
      <c r="N49" s="447">
        <f t="shared" si="1"/>
        <v>100000000</v>
      </c>
      <c r="O49" s="343">
        <v>100000000</v>
      </c>
      <c r="P49" s="343">
        <v>0</v>
      </c>
      <c r="Q49" s="343">
        <v>0</v>
      </c>
      <c r="R49" s="455">
        <f>M49</f>
        <v>0</v>
      </c>
      <c r="S49" s="455">
        <f t="shared" si="7"/>
        <v>100000000</v>
      </c>
      <c r="T49" s="462">
        <f t="shared" si="6"/>
        <v>0</v>
      </c>
      <c r="U49" s="344"/>
      <c r="V49" s="414"/>
      <c r="W49" s="78"/>
    </row>
    <row r="50" spans="1:23" ht="22.5" customHeight="1">
      <c r="A50" s="221"/>
      <c r="B50" s="342" t="s">
        <v>656</v>
      </c>
      <c r="C50" s="1065" t="s">
        <v>664</v>
      </c>
      <c r="D50" s="1066"/>
      <c r="E50" s="1066"/>
      <c r="F50" s="1067"/>
      <c r="G50" s="171" t="s">
        <v>67</v>
      </c>
      <c r="H50" s="174">
        <v>1</v>
      </c>
      <c r="I50" s="175" t="s">
        <v>68</v>
      </c>
      <c r="J50" s="343">
        <v>0</v>
      </c>
      <c r="K50" s="343">
        <v>150000000</v>
      </c>
      <c r="L50" s="343">
        <v>0</v>
      </c>
      <c r="M50" s="343">
        <v>0</v>
      </c>
      <c r="N50" s="447">
        <f t="shared" si="1"/>
        <v>150000000</v>
      </c>
      <c r="O50" s="343">
        <v>0</v>
      </c>
      <c r="P50" s="343">
        <v>150000000</v>
      </c>
      <c r="Q50" s="343">
        <v>0</v>
      </c>
      <c r="R50" s="455">
        <v>0</v>
      </c>
      <c r="S50" s="455">
        <f t="shared" si="7"/>
        <v>150000000</v>
      </c>
      <c r="T50" s="462">
        <f t="shared" si="6"/>
        <v>0</v>
      </c>
      <c r="U50" s="344">
        <f>T50/N50*100</f>
        <v>0</v>
      </c>
      <c r="V50" s="414"/>
      <c r="W50" s="78"/>
    </row>
    <row r="51" spans="1:23" ht="37.5" customHeight="1">
      <c r="A51" s="180"/>
      <c r="B51" s="173" t="s">
        <v>657</v>
      </c>
      <c r="C51" s="1065" t="s">
        <v>665</v>
      </c>
      <c r="D51" s="1066"/>
      <c r="E51" s="1066"/>
      <c r="F51" s="1067"/>
      <c r="G51" s="171" t="s">
        <v>67</v>
      </c>
      <c r="H51" s="174">
        <v>1</v>
      </c>
      <c r="I51" s="175" t="s">
        <v>68</v>
      </c>
      <c r="J51" s="178">
        <v>0</v>
      </c>
      <c r="K51" s="178">
        <v>200000000</v>
      </c>
      <c r="L51" s="178">
        <v>0</v>
      </c>
      <c r="M51" s="178">
        <v>0</v>
      </c>
      <c r="N51" s="447">
        <f t="shared" si="1"/>
        <v>200000000</v>
      </c>
      <c r="O51" s="178">
        <v>0</v>
      </c>
      <c r="P51" s="178">
        <v>200000000</v>
      </c>
      <c r="Q51" s="178">
        <v>0</v>
      </c>
      <c r="R51" s="447">
        <f>M51</f>
        <v>0</v>
      </c>
      <c r="S51" s="455">
        <f>N51</f>
        <v>200000000</v>
      </c>
      <c r="T51" s="462">
        <f t="shared" si="6"/>
        <v>0</v>
      </c>
      <c r="U51" s="344">
        <f>T51/N51*100</f>
        <v>0</v>
      </c>
      <c r="V51" s="414"/>
      <c r="W51" s="78"/>
    </row>
    <row r="52" spans="1:23" ht="37.5" customHeight="1">
      <c r="A52" s="221"/>
      <c r="B52" s="457">
        <v>15.19</v>
      </c>
      <c r="C52" s="1287" t="s">
        <v>852</v>
      </c>
      <c r="D52" s="1288"/>
      <c r="E52" s="1288"/>
      <c r="F52" s="1289"/>
      <c r="G52" s="171" t="s">
        <v>67</v>
      </c>
      <c r="H52" s="174">
        <v>1</v>
      </c>
      <c r="I52" s="175" t="s">
        <v>68</v>
      </c>
      <c r="J52" s="343">
        <v>0</v>
      </c>
      <c r="K52" s="343">
        <v>0</v>
      </c>
      <c r="L52" s="343">
        <v>0</v>
      </c>
      <c r="M52" s="343">
        <v>0</v>
      </c>
      <c r="N52" s="455">
        <v>0</v>
      </c>
      <c r="O52" s="343">
        <v>0</v>
      </c>
      <c r="P52" s="343">
        <v>0</v>
      </c>
      <c r="Q52" s="343">
        <v>0</v>
      </c>
      <c r="R52" s="455">
        <v>75000000</v>
      </c>
      <c r="S52" s="455">
        <f t="shared" si="7"/>
        <v>75000000</v>
      </c>
      <c r="T52" s="483">
        <f t="shared" si="6"/>
        <v>75000000</v>
      </c>
      <c r="U52" s="344"/>
      <c r="V52" s="414"/>
      <c r="W52" s="78"/>
    </row>
    <row r="53" spans="1:23" ht="37.5" customHeight="1">
      <c r="A53" s="221"/>
      <c r="B53" s="457" t="s">
        <v>853</v>
      </c>
      <c r="C53" s="1287" t="s">
        <v>854</v>
      </c>
      <c r="D53" s="1288"/>
      <c r="E53" s="1288"/>
      <c r="F53" s="1289"/>
      <c r="G53" s="171" t="s">
        <v>67</v>
      </c>
      <c r="H53" s="174">
        <v>1</v>
      </c>
      <c r="I53" s="175" t="s">
        <v>68</v>
      </c>
      <c r="J53" s="343">
        <v>0</v>
      </c>
      <c r="K53" s="343">
        <v>0</v>
      </c>
      <c r="L53" s="343">
        <v>0</v>
      </c>
      <c r="M53" s="343">
        <v>0</v>
      </c>
      <c r="N53" s="455">
        <v>0</v>
      </c>
      <c r="O53" s="343">
        <v>0</v>
      </c>
      <c r="P53" s="343">
        <v>0</v>
      </c>
      <c r="Q53" s="343">
        <v>0</v>
      </c>
      <c r="R53" s="455">
        <v>170000000</v>
      </c>
      <c r="S53" s="455">
        <f t="shared" si="7"/>
        <v>170000000</v>
      </c>
      <c r="T53" s="455">
        <f>S53-N53</f>
        <v>170000000</v>
      </c>
      <c r="U53" s="344"/>
      <c r="V53" s="414"/>
      <c r="W53" s="78"/>
    </row>
    <row r="54" spans="1:23" ht="37.5" customHeight="1">
      <c r="A54" s="221"/>
      <c r="B54" s="457" t="s">
        <v>855</v>
      </c>
      <c r="C54" s="1287" t="s">
        <v>856</v>
      </c>
      <c r="D54" s="1288"/>
      <c r="E54" s="1288"/>
      <c r="F54" s="1289"/>
      <c r="G54" s="171" t="s">
        <v>67</v>
      </c>
      <c r="H54" s="174">
        <v>1</v>
      </c>
      <c r="I54" s="175" t="s">
        <v>68</v>
      </c>
      <c r="J54" s="343">
        <v>0</v>
      </c>
      <c r="K54" s="343">
        <v>0</v>
      </c>
      <c r="L54" s="343">
        <v>0</v>
      </c>
      <c r="M54" s="343">
        <v>0</v>
      </c>
      <c r="N54" s="455">
        <v>0</v>
      </c>
      <c r="O54" s="343">
        <v>0</v>
      </c>
      <c r="P54" s="343">
        <v>0</v>
      </c>
      <c r="Q54" s="343">
        <v>0</v>
      </c>
      <c r="R54" s="455">
        <v>345000000</v>
      </c>
      <c r="S54" s="455">
        <f t="shared" si="7"/>
        <v>345000000</v>
      </c>
      <c r="T54" s="455">
        <f>S54-N54</f>
        <v>345000000</v>
      </c>
      <c r="U54" s="344"/>
      <c r="V54" s="414"/>
      <c r="W54" s="78"/>
    </row>
    <row r="55" spans="1:23" ht="27.75" customHeight="1">
      <c r="A55" s="221"/>
      <c r="B55" s="457" t="s">
        <v>859</v>
      </c>
      <c r="C55" s="1305" t="s">
        <v>867</v>
      </c>
      <c r="D55" s="1306"/>
      <c r="E55" s="1306"/>
      <c r="F55" s="478"/>
      <c r="G55" s="171" t="s">
        <v>67</v>
      </c>
      <c r="H55" s="174">
        <v>1</v>
      </c>
      <c r="I55" s="175" t="s">
        <v>68</v>
      </c>
      <c r="J55" s="343">
        <v>0</v>
      </c>
      <c r="K55" s="343">
        <v>0</v>
      </c>
      <c r="L55" s="343">
        <v>0</v>
      </c>
      <c r="M55" s="343">
        <v>0</v>
      </c>
      <c r="N55" s="455">
        <v>0</v>
      </c>
      <c r="O55" s="343">
        <v>0</v>
      </c>
      <c r="P55" s="343">
        <v>0</v>
      </c>
      <c r="Q55" s="343">
        <v>0</v>
      </c>
      <c r="R55" s="455">
        <v>200000000</v>
      </c>
      <c r="S55" s="455">
        <f t="shared" si="7"/>
        <v>200000000</v>
      </c>
      <c r="T55" s="455">
        <f>S55-N55</f>
        <v>200000000</v>
      </c>
      <c r="U55" s="344"/>
      <c r="V55" s="414"/>
      <c r="W55" s="78"/>
    </row>
    <row r="56" spans="1:23" ht="27.75" customHeight="1">
      <c r="A56" s="221"/>
      <c r="B56" s="457">
        <v>15.24</v>
      </c>
      <c r="C56" s="1287" t="s">
        <v>890</v>
      </c>
      <c r="D56" s="1288"/>
      <c r="E56" s="1288"/>
      <c r="F56" s="1289"/>
      <c r="G56" s="171" t="s">
        <v>67</v>
      </c>
      <c r="H56" s="174">
        <v>1</v>
      </c>
      <c r="I56" s="175" t="s">
        <v>68</v>
      </c>
      <c r="J56" s="343">
        <v>0</v>
      </c>
      <c r="K56" s="343">
        <v>0</v>
      </c>
      <c r="L56" s="343">
        <v>0</v>
      </c>
      <c r="M56" s="343">
        <v>0</v>
      </c>
      <c r="N56" s="455">
        <v>0</v>
      </c>
      <c r="O56" s="343">
        <v>0</v>
      </c>
      <c r="P56" s="343">
        <v>0</v>
      </c>
      <c r="Q56" s="343">
        <v>0</v>
      </c>
      <c r="R56" s="455">
        <v>37432500</v>
      </c>
      <c r="S56" s="455">
        <f t="shared" si="7"/>
        <v>37432500</v>
      </c>
      <c r="T56" s="455">
        <f>S56-N56</f>
        <v>37432500</v>
      </c>
      <c r="U56" s="344"/>
      <c r="V56" s="414"/>
      <c r="W56" s="78"/>
    </row>
    <row r="57" spans="1:23" ht="25.5" customHeight="1">
      <c r="A57" s="228" t="s">
        <v>103</v>
      </c>
      <c r="B57" s="450"/>
      <c r="C57" s="1307" t="s">
        <v>104</v>
      </c>
      <c r="D57" s="1308"/>
      <c r="E57" s="1308"/>
      <c r="F57" s="1309"/>
      <c r="G57" s="167" t="s">
        <v>67</v>
      </c>
      <c r="H57" s="451">
        <v>1</v>
      </c>
      <c r="I57" s="452" t="s">
        <v>68</v>
      </c>
      <c r="J57" s="453">
        <f>SUM(J58:J67)</f>
        <v>25000000</v>
      </c>
      <c r="K57" s="453">
        <f>SUM(K58:K67)</f>
        <v>505000000</v>
      </c>
      <c r="L57" s="453">
        <f>SUM(L58:L67)</f>
        <v>740000000</v>
      </c>
      <c r="M57" s="453">
        <f>SUM(M58:M67)</f>
        <v>5000000</v>
      </c>
      <c r="N57" s="453">
        <f>J57+K57+L57+M57</f>
        <v>1275000000</v>
      </c>
      <c r="O57" s="453">
        <f>SUM(O58:O67)</f>
        <v>75000000</v>
      </c>
      <c r="P57" s="453">
        <f>SUM(P58:P67)</f>
        <v>200000000</v>
      </c>
      <c r="Q57" s="453">
        <f>SUM(Q58:Q67)</f>
        <v>300000000</v>
      </c>
      <c r="R57" s="453">
        <f>SUM(R58:R78)</f>
        <v>1290000000</v>
      </c>
      <c r="S57" s="454">
        <f>SUM(S58:S78)</f>
        <v>1865000000</v>
      </c>
      <c r="T57" s="485">
        <f>SUM(T58:T78)</f>
        <v>590000000</v>
      </c>
      <c r="U57" s="458"/>
      <c r="V57" s="438"/>
      <c r="W57" s="78"/>
    </row>
    <row r="58" spans="1:23" ht="25.5" customHeight="1">
      <c r="A58" s="180"/>
      <c r="B58" s="179" t="s">
        <v>666</v>
      </c>
      <c r="C58" s="1065" t="s">
        <v>674</v>
      </c>
      <c r="D58" s="1066"/>
      <c r="E58" s="1066"/>
      <c r="F58" s="1067"/>
      <c r="G58" s="171" t="s">
        <v>67</v>
      </c>
      <c r="H58" s="174">
        <v>1</v>
      </c>
      <c r="I58" s="175" t="s">
        <v>68</v>
      </c>
      <c r="J58" s="370">
        <v>0</v>
      </c>
      <c r="K58" s="178">
        <v>50000000</v>
      </c>
      <c r="L58" s="178">
        <v>0</v>
      </c>
      <c r="M58" s="178">
        <v>0</v>
      </c>
      <c r="N58" s="449">
        <f t="shared" ref="N58:N67" si="8">J58+K58+L58+M58</f>
        <v>50000000</v>
      </c>
      <c r="O58" s="370">
        <v>50000000</v>
      </c>
      <c r="P58" s="178">
        <v>0</v>
      </c>
      <c r="Q58" s="178">
        <v>0</v>
      </c>
      <c r="R58" s="447">
        <v>50000000</v>
      </c>
      <c r="S58" s="455">
        <f>N58+R58</f>
        <v>100000000</v>
      </c>
      <c r="T58" s="447">
        <f>S58-N58</f>
        <v>50000000</v>
      </c>
      <c r="U58" s="227">
        <f>T58/N58*100</f>
        <v>100</v>
      </c>
      <c r="V58" s="414"/>
      <c r="W58" s="78"/>
    </row>
    <row r="59" spans="1:23" ht="39" customHeight="1">
      <c r="A59" s="180"/>
      <c r="B59" s="169" t="s">
        <v>516</v>
      </c>
      <c r="C59" s="1065" t="s">
        <v>675</v>
      </c>
      <c r="D59" s="1066"/>
      <c r="E59" s="1066"/>
      <c r="F59" s="1067"/>
      <c r="G59" s="171" t="s">
        <v>67</v>
      </c>
      <c r="H59" s="172">
        <v>1</v>
      </c>
      <c r="I59" s="175" t="s">
        <v>68</v>
      </c>
      <c r="J59" s="177">
        <v>0</v>
      </c>
      <c r="K59" s="177">
        <v>0</v>
      </c>
      <c r="L59" s="177">
        <v>50000000</v>
      </c>
      <c r="M59" s="177">
        <f>-M58</f>
        <v>0</v>
      </c>
      <c r="N59" s="449">
        <f t="shared" si="8"/>
        <v>50000000</v>
      </c>
      <c r="O59" s="177">
        <v>0</v>
      </c>
      <c r="P59" s="177">
        <v>0</v>
      </c>
      <c r="Q59" s="177">
        <v>50000000</v>
      </c>
      <c r="R59" s="447">
        <v>0</v>
      </c>
      <c r="S59" s="455">
        <f>N59</f>
        <v>50000000</v>
      </c>
      <c r="T59" s="447">
        <f t="shared" ref="T59:T64" si="9">S59-N59</f>
        <v>0</v>
      </c>
      <c r="U59" s="227"/>
      <c r="V59" s="414"/>
      <c r="W59" s="78"/>
    </row>
    <row r="60" spans="1:23" ht="22.5" customHeight="1">
      <c r="A60" s="180"/>
      <c r="B60" s="169" t="s">
        <v>667</v>
      </c>
      <c r="C60" s="1077" t="s">
        <v>676</v>
      </c>
      <c r="D60" s="1077"/>
      <c r="E60" s="1077"/>
      <c r="F60" s="1077"/>
      <c r="G60" s="171" t="s">
        <v>67</v>
      </c>
      <c r="H60" s="172">
        <v>1</v>
      </c>
      <c r="I60" s="175" t="s">
        <v>68</v>
      </c>
      <c r="J60" s="177">
        <v>0</v>
      </c>
      <c r="K60" s="177">
        <v>0</v>
      </c>
      <c r="L60" s="177">
        <v>100000000</v>
      </c>
      <c r="M60" s="177">
        <v>0</v>
      </c>
      <c r="N60" s="449">
        <f t="shared" si="8"/>
        <v>100000000</v>
      </c>
      <c r="O60" s="177">
        <v>0</v>
      </c>
      <c r="P60" s="177">
        <v>0</v>
      </c>
      <c r="Q60" s="177">
        <v>100000000</v>
      </c>
      <c r="R60" s="447">
        <v>0</v>
      </c>
      <c r="S60" s="455">
        <f>N60</f>
        <v>100000000</v>
      </c>
      <c r="T60" s="447">
        <f t="shared" si="9"/>
        <v>0</v>
      </c>
      <c r="U60" s="227"/>
      <c r="V60" s="414"/>
      <c r="W60" s="78"/>
    </row>
    <row r="61" spans="1:23" ht="22.5" customHeight="1">
      <c r="A61" s="180"/>
      <c r="B61" s="169" t="s">
        <v>668</v>
      </c>
      <c r="C61" s="1077" t="s">
        <v>677</v>
      </c>
      <c r="D61" s="1077"/>
      <c r="E61" s="1077"/>
      <c r="F61" s="1077"/>
      <c r="G61" s="171" t="s">
        <v>67</v>
      </c>
      <c r="H61" s="172">
        <v>1</v>
      </c>
      <c r="I61" s="175" t="s">
        <v>68</v>
      </c>
      <c r="J61" s="177">
        <v>25000000</v>
      </c>
      <c r="K61" s="177">
        <v>0</v>
      </c>
      <c r="L61" s="177">
        <v>0</v>
      </c>
      <c r="M61" s="177">
        <v>0</v>
      </c>
      <c r="N61" s="449">
        <f t="shared" si="8"/>
        <v>25000000</v>
      </c>
      <c r="O61" s="177">
        <v>25000000</v>
      </c>
      <c r="P61" s="177">
        <v>0</v>
      </c>
      <c r="Q61" s="177">
        <v>0</v>
      </c>
      <c r="R61" s="447">
        <v>50000000</v>
      </c>
      <c r="S61" s="455">
        <f t="shared" si="7"/>
        <v>75000000</v>
      </c>
      <c r="T61" s="447">
        <f t="shared" si="9"/>
        <v>50000000</v>
      </c>
      <c r="U61" s="227">
        <f>T61/N61*100</f>
        <v>200</v>
      </c>
      <c r="V61" s="414"/>
      <c r="W61" s="78"/>
    </row>
    <row r="62" spans="1:23" ht="22.5" customHeight="1">
      <c r="A62" s="180"/>
      <c r="B62" s="169" t="s">
        <v>669</v>
      </c>
      <c r="C62" s="1065" t="s">
        <v>678</v>
      </c>
      <c r="D62" s="1066"/>
      <c r="E62" s="1066"/>
      <c r="F62" s="1067"/>
      <c r="G62" s="171" t="s">
        <v>67</v>
      </c>
      <c r="H62" s="172">
        <v>1</v>
      </c>
      <c r="I62" s="175" t="s">
        <v>68</v>
      </c>
      <c r="J62" s="177">
        <v>0</v>
      </c>
      <c r="K62" s="177">
        <v>200000000</v>
      </c>
      <c r="L62" s="177">
        <v>0</v>
      </c>
      <c r="M62" s="177">
        <v>0</v>
      </c>
      <c r="N62" s="449">
        <f t="shared" si="8"/>
        <v>200000000</v>
      </c>
      <c r="O62" s="177">
        <v>0</v>
      </c>
      <c r="P62" s="177">
        <v>200000000</v>
      </c>
      <c r="Q62" s="177">
        <v>0</v>
      </c>
      <c r="R62" s="447">
        <v>0</v>
      </c>
      <c r="S62" s="455">
        <f t="shared" si="7"/>
        <v>200000000</v>
      </c>
      <c r="T62" s="447">
        <f t="shared" si="9"/>
        <v>0</v>
      </c>
      <c r="U62" s="227"/>
      <c r="V62" s="414"/>
      <c r="W62" s="78"/>
    </row>
    <row r="63" spans="1:23" ht="22.5" customHeight="1">
      <c r="A63" s="180"/>
      <c r="B63" s="169" t="s">
        <v>670</v>
      </c>
      <c r="C63" s="1065" t="s">
        <v>679</v>
      </c>
      <c r="D63" s="1066"/>
      <c r="E63" s="1066"/>
      <c r="F63" s="1067"/>
      <c r="G63" s="171" t="s">
        <v>67</v>
      </c>
      <c r="H63" s="172">
        <v>1</v>
      </c>
      <c r="I63" s="175" t="s">
        <v>68</v>
      </c>
      <c r="J63" s="177">
        <v>0</v>
      </c>
      <c r="K63" s="177">
        <v>0</v>
      </c>
      <c r="L63" s="177">
        <v>150000000</v>
      </c>
      <c r="M63" s="177">
        <v>0</v>
      </c>
      <c r="N63" s="449">
        <f t="shared" si="8"/>
        <v>150000000</v>
      </c>
      <c r="O63" s="177">
        <v>0</v>
      </c>
      <c r="P63" s="177">
        <v>0</v>
      </c>
      <c r="Q63" s="177">
        <v>150000000</v>
      </c>
      <c r="R63" s="447">
        <v>0</v>
      </c>
      <c r="S63" s="455">
        <f t="shared" si="7"/>
        <v>150000000</v>
      </c>
      <c r="T63" s="447">
        <f t="shared" si="9"/>
        <v>0</v>
      </c>
      <c r="U63" s="227"/>
      <c r="V63" s="414"/>
      <c r="W63" s="78"/>
    </row>
    <row r="64" spans="1:23" ht="22.5" customHeight="1">
      <c r="A64" s="180"/>
      <c r="B64" s="169" t="s">
        <v>671</v>
      </c>
      <c r="C64" s="1065" t="s">
        <v>680</v>
      </c>
      <c r="D64" s="1066"/>
      <c r="E64" s="1066"/>
      <c r="F64" s="1067"/>
      <c r="G64" s="171" t="s">
        <v>67</v>
      </c>
      <c r="H64" s="172">
        <v>1</v>
      </c>
      <c r="I64" s="175" t="s">
        <v>68</v>
      </c>
      <c r="J64" s="177">
        <v>0</v>
      </c>
      <c r="K64" s="177">
        <v>200000000</v>
      </c>
      <c r="L64" s="177">
        <v>0</v>
      </c>
      <c r="M64" s="177">
        <v>0</v>
      </c>
      <c r="N64" s="449">
        <f t="shared" si="8"/>
        <v>200000000</v>
      </c>
      <c r="O64" s="177">
        <v>0</v>
      </c>
      <c r="P64" s="177">
        <v>0</v>
      </c>
      <c r="Q64" s="177">
        <v>0</v>
      </c>
      <c r="R64" s="447">
        <v>200000000</v>
      </c>
      <c r="S64" s="455">
        <f t="shared" si="7"/>
        <v>200000000</v>
      </c>
      <c r="T64" s="447">
        <f t="shared" si="9"/>
        <v>0</v>
      </c>
      <c r="U64" s="227"/>
      <c r="V64" s="414"/>
      <c r="W64" s="78"/>
    </row>
    <row r="65" spans="1:23" ht="22.5" customHeight="1">
      <c r="A65" s="180"/>
      <c r="B65" s="169" t="s">
        <v>672</v>
      </c>
      <c r="C65" s="1065" t="s">
        <v>681</v>
      </c>
      <c r="D65" s="1066"/>
      <c r="E65" s="1066"/>
      <c r="F65" s="1067"/>
      <c r="G65" s="171" t="s">
        <v>67</v>
      </c>
      <c r="H65" s="172">
        <v>1</v>
      </c>
      <c r="I65" s="175" t="s">
        <v>68</v>
      </c>
      <c r="J65" s="177">
        <v>0</v>
      </c>
      <c r="K65" s="480">
        <v>0</v>
      </c>
      <c r="L65" s="480">
        <v>200000000</v>
      </c>
      <c r="M65" s="480">
        <v>0</v>
      </c>
      <c r="N65" s="449">
        <f t="shared" si="8"/>
        <v>200000000</v>
      </c>
      <c r="O65" s="480">
        <v>0</v>
      </c>
      <c r="P65" s="480">
        <v>0</v>
      </c>
      <c r="Q65" s="480">
        <v>0</v>
      </c>
      <c r="R65" s="447">
        <v>0</v>
      </c>
      <c r="S65" s="455">
        <f t="shared" si="7"/>
        <v>0</v>
      </c>
      <c r="T65" s="455">
        <f>S65-N65</f>
        <v>-200000000</v>
      </c>
      <c r="U65" s="227"/>
      <c r="V65" s="414"/>
      <c r="W65" s="78"/>
    </row>
    <row r="66" spans="1:23" ht="22.5" customHeight="1">
      <c r="A66" s="180"/>
      <c r="B66" s="169" t="s">
        <v>673</v>
      </c>
      <c r="C66" s="1065" t="s">
        <v>682</v>
      </c>
      <c r="D66" s="1066"/>
      <c r="E66" s="1066"/>
      <c r="F66" s="1067"/>
      <c r="G66" s="171" t="s">
        <v>67</v>
      </c>
      <c r="H66" s="172">
        <v>1</v>
      </c>
      <c r="I66" s="175" t="s">
        <v>68</v>
      </c>
      <c r="J66" s="177">
        <v>0</v>
      </c>
      <c r="K66" s="480">
        <v>15000000</v>
      </c>
      <c r="L66" s="480">
        <v>185000000</v>
      </c>
      <c r="M66" s="480">
        <v>0</v>
      </c>
      <c r="N66" s="449">
        <f t="shared" si="8"/>
        <v>200000000</v>
      </c>
      <c r="O66" s="480">
        <v>0</v>
      </c>
      <c r="P66" s="480">
        <v>0</v>
      </c>
      <c r="Q66" s="480">
        <v>0</v>
      </c>
      <c r="R66" s="447"/>
      <c r="S66" s="455">
        <v>0</v>
      </c>
      <c r="T66" s="455">
        <f>S66-N66</f>
        <v>-200000000</v>
      </c>
      <c r="U66" s="227"/>
      <c r="V66" s="414"/>
      <c r="W66" s="78"/>
    </row>
    <row r="67" spans="1:23" ht="22.5" customHeight="1">
      <c r="A67" s="180"/>
      <c r="B67" s="169" t="s">
        <v>715</v>
      </c>
      <c r="C67" s="1065" t="s">
        <v>716</v>
      </c>
      <c r="D67" s="1066"/>
      <c r="E67" s="1066"/>
      <c r="F67" s="1067"/>
      <c r="G67" s="171" t="s">
        <v>67</v>
      </c>
      <c r="H67" s="172">
        <v>1</v>
      </c>
      <c r="I67" s="175" t="s">
        <v>68</v>
      </c>
      <c r="J67" s="177"/>
      <c r="K67" s="177">
        <v>40000000</v>
      </c>
      <c r="L67" s="177">
        <v>55000000</v>
      </c>
      <c r="M67" s="177">
        <v>5000000</v>
      </c>
      <c r="N67" s="448">
        <f t="shared" si="8"/>
        <v>100000000</v>
      </c>
      <c r="O67" s="177">
        <v>0</v>
      </c>
      <c r="P67" s="177">
        <v>0</v>
      </c>
      <c r="Q67" s="177">
        <v>0</v>
      </c>
      <c r="R67" s="455">
        <v>100000000</v>
      </c>
      <c r="S67" s="466">
        <f t="shared" si="7"/>
        <v>100000000</v>
      </c>
      <c r="T67" s="455">
        <f t="shared" ref="T67:T89" si="10">S67-N67</f>
        <v>0</v>
      </c>
      <c r="U67" s="227"/>
      <c r="V67" s="414"/>
      <c r="W67" s="78"/>
    </row>
    <row r="68" spans="1:23" ht="22.5" customHeight="1">
      <c r="A68" s="180"/>
      <c r="B68" s="169" t="s">
        <v>861</v>
      </c>
      <c r="C68" s="1078" t="s">
        <v>862</v>
      </c>
      <c r="D68" s="1079"/>
      <c r="E68" s="1079"/>
      <c r="F68" s="1080"/>
      <c r="G68" s="171" t="s">
        <v>67</v>
      </c>
      <c r="H68" s="172">
        <v>1</v>
      </c>
      <c r="I68" s="175" t="s">
        <v>68</v>
      </c>
      <c r="J68" s="177">
        <v>0</v>
      </c>
      <c r="K68" s="177">
        <v>0</v>
      </c>
      <c r="L68" s="177">
        <v>0</v>
      </c>
      <c r="M68" s="177">
        <v>0</v>
      </c>
      <c r="N68" s="448">
        <v>0</v>
      </c>
      <c r="O68" s="177">
        <v>0</v>
      </c>
      <c r="P68" s="177">
        <v>0</v>
      </c>
      <c r="Q68" s="177">
        <v>0</v>
      </c>
      <c r="R68" s="455">
        <v>200000000</v>
      </c>
      <c r="S68" s="466">
        <f t="shared" si="7"/>
        <v>200000000</v>
      </c>
      <c r="T68" s="455">
        <f t="shared" si="10"/>
        <v>200000000</v>
      </c>
      <c r="U68" s="479"/>
      <c r="V68" s="414"/>
      <c r="W68" s="78"/>
    </row>
    <row r="69" spans="1:23" ht="22.5" customHeight="1">
      <c r="A69" s="180"/>
      <c r="B69" s="169" t="s">
        <v>863</v>
      </c>
      <c r="C69" s="1065" t="s">
        <v>864</v>
      </c>
      <c r="D69" s="1066"/>
      <c r="E69" s="1066"/>
      <c r="F69" s="1067"/>
      <c r="G69" s="171" t="s">
        <v>67</v>
      </c>
      <c r="H69" s="172">
        <v>1</v>
      </c>
      <c r="I69" s="175" t="s">
        <v>68</v>
      </c>
      <c r="J69" s="177">
        <v>0</v>
      </c>
      <c r="K69" s="177">
        <v>0</v>
      </c>
      <c r="L69" s="177">
        <v>0</v>
      </c>
      <c r="M69" s="177">
        <v>0</v>
      </c>
      <c r="N69" s="448">
        <v>0</v>
      </c>
      <c r="O69" s="177">
        <v>0</v>
      </c>
      <c r="P69" s="177">
        <v>0</v>
      </c>
      <c r="Q69" s="177">
        <v>0</v>
      </c>
      <c r="R69" s="455">
        <v>115000000</v>
      </c>
      <c r="S69" s="466">
        <f t="shared" si="7"/>
        <v>115000000</v>
      </c>
      <c r="T69" s="455">
        <f t="shared" si="10"/>
        <v>115000000</v>
      </c>
      <c r="U69" s="479"/>
      <c r="V69" s="414"/>
      <c r="W69" s="78"/>
    </row>
    <row r="70" spans="1:23" ht="22.5" customHeight="1">
      <c r="A70" s="180"/>
      <c r="B70" s="169" t="s">
        <v>865</v>
      </c>
      <c r="C70" s="1065" t="s">
        <v>866</v>
      </c>
      <c r="D70" s="1066"/>
      <c r="E70" s="1066"/>
      <c r="F70" s="1067"/>
      <c r="G70" s="171" t="s">
        <v>67</v>
      </c>
      <c r="H70" s="172">
        <v>1</v>
      </c>
      <c r="I70" s="175" t="s">
        <v>68</v>
      </c>
      <c r="J70" s="177"/>
      <c r="K70" s="177"/>
      <c r="L70" s="177"/>
      <c r="M70" s="177"/>
      <c r="N70" s="448">
        <v>0</v>
      </c>
      <c r="O70" s="177"/>
      <c r="P70" s="177"/>
      <c r="Q70" s="177"/>
      <c r="R70" s="455">
        <v>85000000</v>
      </c>
      <c r="S70" s="466">
        <f t="shared" si="7"/>
        <v>85000000</v>
      </c>
      <c r="T70" s="455">
        <f t="shared" si="10"/>
        <v>85000000</v>
      </c>
      <c r="U70" s="479"/>
      <c r="V70" s="414"/>
      <c r="W70" s="78"/>
    </row>
    <row r="71" spans="1:23" ht="28.5" customHeight="1">
      <c r="A71" s="180"/>
      <c r="B71" s="169" t="s">
        <v>868</v>
      </c>
      <c r="C71" s="1065" t="s">
        <v>869</v>
      </c>
      <c r="D71" s="1066"/>
      <c r="E71" s="1066"/>
      <c r="F71" s="1067"/>
      <c r="G71" s="171" t="s">
        <v>67</v>
      </c>
      <c r="H71" s="172">
        <v>1</v>
      </c>
      <c r="I71" s="175" t="s">
        <v>68</v>
      </c>
      <c r="J71" s="177">
        <v>0</v>
      </c>
      <c r="K71" s="177">
        <v>0</v>
      </c>
      <c r="L71" s="177">
        <v>0</v>
      </c>
      <c r="M71" s="177">
        <v>0</v>
      </c>
      <c r="N71" s="448">
        <v>0</v>
      </c>
      <c r="O71" s="177">
        <v>0</v>
      </c>
      <c r="P71" s="177">
        <v>0</v>
      </c>
      <c r="Q71" s="177">
        <v>0</v>
      </c>
      <c r="R71" s="455">
        <v>40000000</v>
      </c>
      <c r="S71" s="466">
        <f t="shared" si="7"/>
        <v>40000000</v>
      </c>
      <c r="T71" s="455">
        <f t="shared" si="10"/>
        <v>40000000</v>
      </c>
      <c r="U71" s="479"/>
      <c r="V71" s="414"/>
      <c r="W71" s="78"/>
    </row>
    <row r="72" spans="1:23" ht="28.5" customHeight="1">
      <c r="A72" s="180"/>
      <c r="B72" s="169" t="s">
        <v>870</v>
      </c>
      <c r="C72" s="1065" t="s">
        <v>871</v>
      </c>
      <c r="D72" s="1066"/>
      <c r="E72" s="1066"/>
      <c r="F72" s="1067"/>
      <c r="G72" s="171" t="s">
        <v>67</v>
      </c>
      <c r="H72" s="172">
        <v>1</v>
      </c>
      <c r="I72" s="175" t="s">
        <v>68</v>
      </c>
      <c r="J72" s="177">
        <v>0</v>
      </c>
      <c r="K72" s="177">
        <v>0</v>
      </c>
      <c r="L72" s="177">
        <v>0</v>
      </c>
      <c r="M72" s="177">
        <v>0</v>
      </c>
      <c r="N72" s="448">
        <v>0</v>
      </c>
      <c r="O72" s="177">
        <v>0</v>
      </c>
      <c r="P72" s="177">
        <v>0</v>
      </c>
      <c r="Q72" s="177">
        <v>0</v>
      </c>
      <c r="R72" s="455">
        <v>100000000</v>
      </c>
      <c r="S72" s="466">
        <f t="shared" si="7"/>
        <v>100000000</v>
      </c>
      <c r="T72" s="455">
        <f t="shared" si="10"/>
        <v>100000000</v>
      </c>
      <c r="U72" s="479"/>
      <c r="V72" s="414"/>
      <c r="W72" s="78"/>
    </row>
    <row r="73" spans="1:23" ht="28.5" customHeight="1">
      <c r="A73" s="180"/>
      <c r="B73" s="169" t="s">
        <v>872</v>
      </c>
      <c r="C73" s="1065" t="s">
        <v>873</v>
      </c>
      <c r="D73" s="1066"/>
      <c r="E73" s="1066"/>
      <c r="F73" s="1067"/>
      <c r="G73" s="171" t="s">
        <v>67</v>
      </c>
      <c r="H73" s="172">
        <v>1</v>
      </c>
      <c r="I73" s="175" t="s">
        <v>68</v>
      </c>
      <c r="J73" s="177">
        <v>0</v>
      </c>
      <c r="K73" s="177">
        <v>0</v>
      </c>
      <c r="L73" s="177">
        <v>0</v>
      </c>
      <c r="M73" s="177">
        <v>0</v>
      </c>
      <c r="N73" s="448">
        <v>0</v>
      </c>
      <c r="O73" s="177">
        <v>0</v>
      </c>
      <c r="P73" s="177">
        <v>0</v>
      </c>
      <c r="Q73" s="177">
        <v>0</v>
      </c>
      <c r="R73" s="455">
        <v>30000000</v>
      </c>
      <c r="S73" s="466">
        <f t="shared" si="7"/>
        <v>30000000</v>
      </c>
      <c r="T73" s="455">
        <f t="shared" si="10"/>
        <v>30000000</v>
      </c>
      <c r="U73" s="479"/>
      <c r="V73" s="414"/>
      <c r="W73" s="78"/>
    </row>
    <row r="74" spans="1:23" ht="28.5" customHeight="1">
      <c r="A74" s="180"/>
      <c r="B74" s="169" t="s">
        <v>874</v>
      </c>
      <c r="C74" s="1065" t="s">
        <v>876</v>
      </c>
      <c r="D74" s="1066"/>
      <c r="E74" s="1066"/>
      <c r="F74" s="1067"/>
      <c r="G74" s="171" t="s">
        <v>67</v>
      </c>
      <c r="H74" s="172">
        <v>1</v>
      </c>
      <c r="I74" s="175" t="s">
        <v>68</v>
      </c>
      <c r="J74" s="177">
        <v>0</v>
      </c>
      <c r="K74" s="177">
        <v>0</v>
      </c>
      <c r="L74" s="177">
        <v>0</v>
      </c>
      <c r="M74" s="177">
        <v>0</v>
      </c>
      <c r="N74" s="448">
        <v>0</v>
      </c>
      <c r="O74" s="177">
        <v>0</v>
      </c>
      <c r="P74" s="177">
        <v>0</v>
      </c>
      <c r="Q74" s="177">
        <v>0</v>
      </c>
      <c r="R74" s="455">
        <v>30000000</v>
      </c>
      <c r="S74" s="466">
        <f t="shared" si="7"/>
        <v>30000000</v>
      </c>
      <c r="T74" s="455">
        <f t="shared" si="10"/>
        <v>30000000</v>
      </c>
      <c r="U74" s="479"/>
      <c r="V74" s="414"/>
      <c r="W74" s="78"/>
    </row>
    <row r="75" spans="1:23" ht="28.5" customHeight="1">
      <c r="A75" s="180"/>
      <c r="B75" s="169" t="s">
        <v>875</v>
      </c>
      <c r="C75" s="1065" t="s">
        <v>877</v>
      </c>
      <c r="D75" s="1066"/>
      <c r="E75" s="1066"/>
      <c r="F75" s="1067"/>
      <c r="G75" s="171" t="s">
        <v>67</v>
      </c>
      <c r="H75" s="172">
        <v>1</v>
      </c>
      <c r="I75" s="175" t="s">
        <v>68</v>
      </c>
      <c r="J75" s="177">
        <v>0</v>
      </c>
      <c r="K75" s="177">
        <v>0</v>
      </c>
      <c r="L75" s="177">
        <v>0</v>
      </c>
      <c r="M75" s="177">
        <v>0</v>
      </c>
      <c r="N75" s="448">
        <v>0</v>
      </c>
      <c r="O75" s="177">
        <v>0</v>
      </c>
      <c r="P75" s="177">
        <v>0</v>
      </c>
      <c r="Q75" s="177">
        <v>0</v>
      </c>
      <c r="R75" s="455">
        <v>150000000</v>
      </c>
      <c r="S75" s="466">
        <f t="shared" si="7"/>
        <v>150000000</v>
      </c>
      <c r="T75" s="455">
        <f t="shared" si="10"/>
        <v>150000000</v>
      </c>
      <c r="U75" s="479"/>
      <c r="V75" s="414"/>
      <c r="W75" s="78"/>
    </row>
    <row r="76" spans="1:23" ht="34.5" customHeight="1">
      <c r="A76" s="180"/>
      <c r="B76" s="169" t="s">
        <v>878</v>
      </c>
      <c r="C76" s="1065" t="s">
        <v>879</v>
      </c>
      <c r="D76" s="1066"/>
      <c r="E76" s="1066"/>
      <c r="F76" s="1067"/>
      <c r="G76" s="171" t="s">
        <v>67</v>
      </c>
      <c r="H76" s="172">
        <v>1</v>
      </c>
      <c r="I76" s="175" t="s">
        <v>68</v>
      </c>
      <c r="J76" s="177">
        <v>0</v>
      </c>
      <c r="K76" s="177">
        <v>0</v>
      </c>
      <c r="L76" s="177">
        <v>0</v>
      </c>
      <c r="M76" s="177">
        <v>0</v>
      </c>
      <c r="N76" s="448">
        <v>0</v>
      </c>
      <c r="O76" s="177">
        <v>0</v>
      </c>
      <c r="P76" s="177">
        <v>0</v>
      </c>
      <c r="Q76" s="177">
        <v>0</v>
      </c>
      <c r="R76" s="455">
        <v>40000000</v>
      </c>
      <c r="S76" s="466">
        <f t="shared" si="7"/>
        <v>40000000</v>
      </c>
      <c r="T76" s="455">
        <f t="shared" si="10"/>
        <v>40000000</v>
      </c>
      <c r="U76" s="479"/>
      <c r="V76" s="414"/>
      <c r="W76" s="78"/>
    </row>
    <row r="77" spans="1:23" ht="34.5" customHeight="1">
      <c r="A77" s="180"/>
      <c r="B77" s="169" t="s">
        <v>880</v>
      </c>
      <c r="C77" s="1065" t="s">
        <v>881</v>
      </c>
      <c r="D77" s="1066"/>
      <c r="E77" s="1066"/>
      <c r="F77" s="1067"/>
      <c r="G77" s="171" t="s">
        <v>67</v>
      </c>
      <c r="H77" s="172">
        <v>1</v>
      </c>
      <c r="I77" s="175" t="s">
        <v>68</v>
      </c>
      <c r="J77" s="177">
        <v>0</v>
      </c>
      <c r="K77" s="177">
        <v>0</v>
      </c>
      <c r="L77" s="177">
        <v>0</v>
      </c>
      <c r="M77" s="177">
        <v>0</v>
      </c>
      <c r="N77" s="448">
        <v>0</v>
      </c>
      <c r="O77" s="177">
        <v>0</v>
      </c>
      <c r="P77" s="177">
        <v>0</v>
      </c>
      <c r="Q77" s="177">
        <v>0</v>
      </c>
      <c r="R77" s="455">
        <v>50000000</v>
      </c>
      <c r="S77" s="466">
        <f t="shared" si="7"/>
        <v>50000000</v>
      </c>
      <c r="T77" s="455">
        <f t="shared" si="10"/>
        <v>50000000</v>
      </c>
      <c r="U77" s="479"/>
      <c r="V77" s="414"/>
      <c r="W77" s="78"/>
    </row>
    <row r="78" spans="1:23" ht="24.75" customHeight="1">
      <c r="A78" s="180"/>
      <c r="B78" s="169" t="s">
        <v>882</v>
      </c>
      <c r="C78" s="1287" t="s">
        <v>883</v>
      </c>
      <c r="D78" s="1288"/>
      <c r="E78" s="1288"/>
      <c r="F78" s="1289"/>
      <c r="G78" s="171" t="s">
        <v>67</v>
      </c>
      <c r="H78" s="172">
        <v>1</v>
      </c>
      <c r="I78" s="175" t="s">
        <v>68</v>
      </c>
      <c r="J78" s="177">
        <v>0</v>
      </c>
      <c r="K78" s="177">
        <v>0</v>
      </c>
      <c r="L78" s="177">
        <v>0</v>
      </c>
      <c r="M78" s="177">
        <v>0</v>
      </c>
      <c r="N78" s="448">
        <v>0</v>
      </c>
      <c r="O78" s="177">
        <v>0</v>
      </c>
      <c r="P78" s="177">
        <v>0</v>
      </c>
      <c r="Q78" s="177">
        <v>0</v>
      </c>
      <c r="R78" s="455">
        <v>50000000</v>
      </c>
      <c r="S78" s="466">
        <f t="shared" si="7"/>
        <v>50000000</v>
      </c>
      <c r="T78" s="455">
        <f t="shared" si="10"/>
        <v>50000000</v>
      </c>
      <c r="U78" s="479"/>
      <c r="V78" s="414"/>
      <c r="W78" s="78"/>
    </row>
    <row r="79" spans="1:23" ht="22.5" customHeight="1">
      <c r="A79" s="225" t="s">
        <v>683</v>
      </c>
      <c r="B79" s="169"/>
      <c r="C79" s="1071" t="s">
        <v>684</v>
      </c>
      <c r="D79" s="1072"/>
      <c r="E79" s="1072"/>
      <c r="F79" s="1073"/>
      <c r="G79" s="171" t="s">
        <v>67</v>
      </c>
      <c r="H79" s="172">
        <v>1</v>
      </c>
      <c r="I79" s="175" t="s">
        <v>68</v>
      </c>
      <c r="J79" s="486">
        <f>J81+J82+J83</f>
        <v>92500000</v>
      </c>
      <c r="K79" s="486">
        <f>K81+K82+K83</f>
        <v>207500000</v>
      </c>
      <c r="L79" s="486">
        <f>L81+L82+L83</f>
        <v>0</v>
      </c>
      <c r="M79" s="486">
        <f>M81+M82+M83</f>
        <v>0</v>
      </c>
      <c r="N79" s="486">
        <f>J79+K79</f>
        <v>300000000</v>
      </c>
      <c r="O79" s="486">
        <f>O81+O82+O83</f>
        <v>92500000</v>
      </c>
      <c r="P79" s="486">
        <f>P81+P82+P83</f>
        <v>207500000</v>
      </c>
      <c r="Q79" s="486">
        <f>Q81+Q82+Q83</f>
        <v>0</v>
      </c>
      <c r="R79" s="486">
        <f>SUM(R81:R84)</f>
        <v>150000000</v>
      </c>
      <c r="S79" s="487">
        <f>SUM(S81:S84)</f>
        <v>450000000</v>
      </c>
      <c r="T79" s="455">
        <f>S79-N79</f>
        <v>150000000</v>
      </c>
      <c r="U79" s="305"/>
      <c r="V79" s="439"/>
      <c r="W79" s="78"/>
    </row>
    <row r="80" spans="1:23" ht="22.5" customHeight="1">
      <c r="A80" s="1290" t="s">
        <v>909</v>
      </c>
      <c r="B80" s="1291"/>
      <c r="C80" s="1291"/>
      <c r="D80" s="1291"/>
      <c r="E80" s="1291"/>
      <c r="F80" s="1291"/>
      <c r="G80" s="1291"/>
      <c r="H80" s="1291"/>
      <c r="I80" s="1291"/>
      <c r="J80" s="1291"/>
      <c r="K80" s="1292"/>
      <c r="L80" s="1293" t="s">
        <v>912</v>
      </c>
      <c r="M80" s="1294"/>
      <c r="N80" s="1294"/>
      <c r="O80" s="1295"/>
      <c r="P80" s="1293" t="s">
        <v>913</v>
      </c>
      <c r="Q80" s="1294"/>
      <c r="R80" s="1294"/>
      <c r="S80" s="1294"/>
      <c r="T80" s="1294"/>
      <c r="U80" s="1295"/>
      <c r="V80" s="439"/>
      <c r="W80" s="78"/>
    </row>
    <row r="81" spans="1:25" ht="23.25" customHeight="1">
      <c r="A81" s="180"/>
      <c r="B81" s="169" t="s">
        <v>688</v>
      </c>
      <c r="C81" s="1065" t="s">
        <v>685</v>
      </c>
      <c r="D81" s="1066"/>
      <c r="E81" s="1066"/>
      <c r="F81" s="1067"/>
      <c r="G81" s="171" t="s">
        <v>67</v>
      </c>
      <c r="H81" s="172">
        <v>1</v>
      </c>
      <c r="I81" s="175" t="s">
        <v>68</v>
      </c>
      <c r="J81" s="177">
        <v>42500000</v>
      </c>
      <c r="K81" s="177">
        <v>7500000</v>
      </c>
      <c r="L81" s="177">
        <v>0</v>
      </c>
      <c r="M81" s="177">
        <v>0</v>
      </c>
      <c r="N81" s="177">
        <f t="shared" ref="N81:N87" si="11">J81+K81</f>
        <v>50000000</v>
      </c>
      <c r="O81" s="177">
        <v>42500000</v>
      </c>
      <c r="P81" s="177">
        <v>7500000</v>
      </c>
      <c r="Q81" s="177">
        <v>0</v>
      </c>
      <c r="R81" s="443"/>
      <c r="S81" s="466">
        <f t="shared" si="7"/>
        <v>50000000</v>
      </c>
      <c r="T81" s="455">
        <f t="shared" si="10"/>
        <v>0</v>
      </c>
      <c r="U81" s="378"/>
      <c r="V81" s="440"/>
      <c r="W81" s="78"/>
    </row>
    <row r="82" spans="1:25" ht="24" customHeight="1">
      <c r="A82" s="180"/>
      <c r="B82" s="169" t="s">
        <v>689</v>
      </c>
      <c r="C82" s="1065" t="s">
        <v>686</v>
      </c>
      <c r="D82" s="1066"/>
      <c r="E82" s="1066"/>
      <c r="F82" s="1067"/>
      <c r="G82" s="171" t="s">
        <v>67</v>
      </c>
      <c r="H82" s="172">
        <v>1</v>
      </c>
      <c r="I82" s="175" t="s">
        <v>68</v>
      </c>
      <c r="J82" s="177">
        <v>50000000</v>
      </c>
      <c r="K82" s="177">
        <v>0</v>
      </c>
      <c r="L82" s="177">
        <v>0</v>
      </c>
      <c r="M82" s="177">
        <v>0</v>
      </c>
      <c r="N82" s="177">
        <f t="shared" si="11"/>
        <v>50000000</v>
      </c>
      <c r="O82" s="177">
        <v>50000000</v>
      </c>
      <c r="P82" s="177">
        <v>0</v>
      </c>
      <c r="Q82" s="177">
        <v>0</v>
      </c>
      <c r="R82" s="443"/>
      <c r="S82" s="466">
        <f t="shared" si="7"/>
        <v>50000000</v>
      </c>
      <c r="T82" s="455">
        <f t="shared" si="10"/>
        <v>0</v>
      </c>
      <c r="U82" s="378"/>
      <c r="V82" s="440"/>
      <c r="W82" s="78"/>
    </row>
    <row r="83" spans="1:25" ht="26.25" customHeight="1">
      <c r="A83" s="180"/>
      <c r="B83" s="169" t="s">
        <v>690</v>
      </c>
      <c r="C83" s="1065" t="s">
        <v>687</v>
      </c>
      <c r="D83" s="1066"/>
      <c r="E83" s="1066"/>
      <c r="F83" s="1067"/>
      <c r="G83" s="171" t="s">
        <v>67</v>
      </c>
      <c r="H83" s="172">
        <v>1</v>
      </c>
      <c r="I83" s="175" t="s">
        <v>68</v>
      </c>
      <c r="J83" s="177">
        <v>0</v>
      </c>
      <c r="K83" s="177">
        <v>200000000</v>
      </c>
      <c r="L83" s="177">
        <v>0</v>
      </c>
      <c r="M83" s="177">
        <v>0</v>
      </c>
      <c r="N83" s="177">
        <f t="shared" si="11"/>
        <v>200000000</v>
      </c>
      <c r="O83" s="177">
        <v>0</v>
      </c>
      <c r="P83" s="177">
        <v>200000000</v>
      </c>
      <c r="Q83" s="177">
        <v>0</v>
      </c>
      <c r="R83" s="443"/>
      <c r="S83" s="466">
        <f t="shared" si="7"/>
        <v>200000000</v>
      </c>
      <c r="T83" s="455">
        <f t="shared" si="10"/>
        <v>0</v>
      </c>
      <c r="U83" s="181"/>
      <c r="V83" s="435"/>
      <c r="W83" s="78"/>
    </row>
    <row r="84" spans="1:25" ht="25.5" customHeight="1">
      <c r="A84" s="180"/>
      <c r="B84" s="499">
        <v>17.13</v>
      </c>
      <c r="C84" s="1287" t="s">
        <v>889</v>
      </c>
      <c r="D84" s="1288"/>
      <c r="E84" s="1288"/>
      <c r="F84" s="1289"/>
      <c r="G84" s="171" t="s">
        <v>67</v>
      </c>
      <c r="H84" s="172">
        <v>1</v>
      </c>
      <c r="I84" s="175" t="s">
        <v>68</v>
      </c>
      <c r="J84" s="177">
        <v>0</v>
      </c>
      <c r="K84" s="177">
        <v>0</v>
      </c>
      <c r="L84" s="177">
        <v>0</v>
      </c>
      <c r="M84" s="177">
        <v>0</v>
      </c>
      <c r="N84" s="177">
        <v>0</v>
      </c>
      <c r="O84" s="177">
        <v>0</v>
      </c>
      <c r="P84" s="177">
        <v>0</v>
      </c>
      <c r="Q84" s="177">
        <v>0</v>
      </c>
      <c r="R84" s="443">
        <v>150000000</v>
      </c>
      <c r="S84" s="466">
        <f t="shared" si="7"/>
        <v>150000000</v>
      </c>
      <c r="T84" s="455">
        <f t="shared" si="10"/>
        <v>150000000</v>
      </c>
      <c r="U84" s="505">
        <v>100</v>
      </c>
      <c r="V84" s="435"/>
      <c r="W84" s="78"/>
    </row>
    <row r="85" spans="1:25" ht="22.5" customHeight="1">
      <c r="A85" s="225" t="s">
        <v>517</v>
      </c>
      <c r="B85" s="171"/>
      <c r="C85" s="1057" t="s">
        <v>518</v>
      </c>
      <c r="D85" s="1057"/>
      <c r="E85" s="1057"/>
      <c r="F85" s="1057"/>
      <c r="G85" s="171"/>
      <c r="H85" s="172"/>
      <c r="I85" s="175"/>
      <c r="J85" s="305">
        <f>J86+J87</f>
        <v>0</v>
      </c>
      <c r="K85" s="486">
        <f>K86+K87</f>
        <v>200000000</v>
      </c>
      <c r="L85" s="486">
        <f>L86+L87</f>
        <v>0</v>
      </c>
      <c r="M85" s="486">
        <f>M86+M87</f>
        <v>0</v>
      </c>
      <c r="N85" s="486">
        <f t="shared" si="11"/>
        <v>200000000</v>
      </c>
      <c r="O85" s="486">
        <f>O86+O87</f>
        <v>0</v>
      </c>
      <c r="P85" s="486">
        <f>P86+P87</f>
        <v>200000000</v>
      </c>
      <c r="Q85" s="305">
        <f>Q86+Q87</f>
        <v>0</v>
      </c>
      <c r="R85" s="305">
        <f>SUM(R86:R89)</f>
        <v>170000000</v>
      </c>
      <c r="S85" s="487">
        <f>SUM(S86:S89)</f>
        <v>370000000</v>
      </c>
      <c r="T85" s="455">
        <f>SUM(T86:T89)</f>
        <v>170000000</v>
      </c>
      <c r="U85" s="305"/>
      <c r="V85" s="439"/>
      <c r="W85" s="78"/>
    </row>
    <row r="86" spans="1:25" ht="27.75" customHeight="1">
      <c r="A86" s="180"/>
      <c r="B86" s="169" t="s">
        <v>692</v>
      </c>
      <c r="C86" s="1088" t="s">
        <v>691</v>
      </c>
      <c r="D86" s="1088"/>
      <c r="E86" s="1088"/>
      <c r="F86" s="1088"/>
      <c r="G86" s="171" t="s">
        <v>67</v>
      </c>
      <c r="H86" s="172">
        <v>1</v>
      </c>
      <c r="I86" s="175" t="s">
        <v>68</v>
      </c>
      <c r="J86" s="178">
        <v>0</v>
      </c>
      <c r="K86" s="178">
        <v>100000000</v>
      </c>
      <c r="L86" s="178">
        <v>0</v>
      </c>
      <c r="M86" s="178">
        <v>0</v>
      </c>
      <c r="N86" s="177">
        <f t="shared" si="11"/>
        <v>100000000</v>
      </c>
      <c r="O86" s="178">
        <v>0</v>
      </c>
      <c r="P86" s="178">
        <v>100000000</v>
      </c>
      <c r="Q86" s="178">
        <v>0</v>
      </c>
      <c r="R86" s="443"/>
      <c r="S86" s="466">
        <f t="shared" si="7"/>
        <v>100000000</v>
      </c>
      <c r="T86" s="455">
        <f t="shared" si="10"/>
        <v>0</v>
      </c>
      <c r="U86" s="181"/>
      <c r="V86" s="435"/>
      <c r="W86" s="78"/>
    </row>
    <row r="87" spans="1:25" ht="24.75" customHeight="1">
      <c r="A87" s="180"/>
      <c r="B87" s="169" t="s">
        <v>693</v>
      </c>
      <c r="C87" s="1065" t="s">
        <v>694</v>
      </c>
      <c r="D87" s="1066"/>
      <c r="E87" s="1066"/>
      <c r="F87" s="1067"/>
      <c r="G87" s="171" t="s">
        <v>67</v>
      </c>
      <c r="H87" s="172">
        <v>1</v>
      </c>
      <c r="I87" s="175" t="s">
        <v>68</v>
      </c>
      <c r="J87" s="178">
        <v>0</v>
      </c>
      <c r="K87" s="178">
        <v>100000000</v>
      </c>
      <c r="L87" s="178">
        <v>0</v>
      </c>
      <c r="M87" s="178">
        <v>0</v>
      </c>
      <c r="N87" s="177">
        <f t="shared" si="11"/>
        <v>100000000</v>
      </c>
      <c r="O87" s="178">
        <v>0</v>
      </c>
      <c r="P87" s="178">
        <v>100000000</v>
      </c>
      <c r="Q87" s="178">
        <v>0</v>
      </c>
      <c r="R87" s="443">
        <v>0</v>
      </c>
      <c r="S87" s="466">
        <f t="shared" si="7"/>
        <v>100000000</v>
      </c>
      <c r="T87" s="455">
        <f t="shared" si="10"/>
        <v>0</v>
      </c>
      <c r="U87" s="181"/>
      <c r="V87" s="435"/>
      <c r="W87" s="78"/>
    </row>
    <row r="88" spans="1:25" ht="24.75" customHeight="1">
      <c r="A88" s="180"/>
      <c r="B88" s="169" t="s">
        <v>884</v>
      </c>
      <c r="C88" s="1065" t="s">
        <v>886</v>
      </c>
      <c r="D88" s="1066"/>
      <c r="E88" s="1066"/>
      <c r="F88" s="433"/>
      <c r="G88" s="171" t="s">
        <v>67</v>
      </c>
      <c r="H88" s="172">
        <v>1</v>
      </c>
      <c r="I88" s="175" t="s">
        <v>68</v>
      </c>
      <c r="J88" s="178">
        <v>0</v>
      </c>
      <c r="K88" s="178">
        <v>0</v>
      </c>
      <c r="L88" s="178">
        <v>0</v>
      </c>
      <c r="M88" s="178">
        <v>0</v>
      </c>
      <c r="N88" s="443">
        <v>0</v>
      </c>
      <c r="O88" s="481">
        <v>0</v>
      </c>
      <c r="P88" s="481">
        <v>0</v>
      </c>
      <c r="Q88" s="481">
        <v>0</v>
      </c>
      <c r="R88" s="481">
        <v>100000000</v>
      </c>
      <c r="S88" s="466">
        <f t="shared" si="7"/>
        <v>100000000</v>
      </c>
      <c r="T88" s="455">
        <f t="shared" si="10"/>
        <v>100000000</v>
      </c>
      <c r="U88" s="227">
        <v>100</v>
      </c>
      <c r="V88" s="435"/>
      <c r="W88" s="78"/>
    </row>
    <row r="89" spans="1:25" ht="24.75" customHeight="1">
      <c r="A89" s="180"/>
      <c r="B89" s="169" t="s">
        <v>885</v>
      </c>
      <c r="C89" s="1305" t="s">
        <v>887</v>
      </c>
      <c r="D89" s="1306"/>
      <c r="E89" s="1306"/>
      <c r="F89" s="433"/>
      <c r="G89" s="171" t="s">
        <v>67</v>
      </c>
      <c r="H89" s="172">
        <v>1</v>
      </c>
      <c r="I89" s="175" t="s">
        <v>68</v>
      </c>
      <c r="J89" s="178">
        <v>0</v>
      </c>
      <c r="K89" s="178">
        <v>0</v>
      </c>
      <c r="L89" s="178">
        <v>0</v>
      </c>
      <c r="M89" s="178">
        <v>0</v>
      </c>
      <c r="N89" s="443">
        <v>0</v>
      </c>
      <c r="O89" s="481">
        <v>0</v>
      </c>
      <c r="P89" s="481">
        <v>0</v>
      </c>
      <c r="Q89" s="481">
        <v>0</v>
      </c>
      <c r="R89" s="481">
        <v>70000000</v>
      </c>
      <c r="S89" s="466">
        <f t="shared" si="7"/>
        <v>70000000</v>
      </c>
      <c r="T89" s="455">
        <f t="shared" si="10"/>
        <v>70000000</v>
      </c>
      <c r="U89" s="227">
        <v>100</v>
      </c>
      <c r="V89" s="435"/>
      <c r="W89" s="78"/>
    </row>
    <row r="90" spans="1:25" ht="21" customHeight="1">
      <c r="A90" s="180"/>
      <c r="B90" s="171"/>
      <c r="C90" s="1054"/>
      <c r="D90" s="1055"/>
      <c r="E90" s="1055"/>
      <c r="F90" s="1052"/>
      <c r="G90" s="171"/>
      <c r="H90" s="171"/>
      <c r="I90" s="171"/>
      <c r="J90" s="171"/>
      <c r="K90" s="171"/>
      <c r="L90" s="171"/>
      <c r="M90" s="171"/>
      <c r="N90" s="444"/>
      <c r="O90" s="444"/>
      <c r="P90" s="444"/>
      <c r="Q90" s="444"/>
      <c r="R90" s="444"/>
      <c r="S90" s="444"/>
      <c r="T90" s="444"/>
      <c r="U90" s="181"/>
      <c r="V90" s="435"/>
    </row>
    <row r="91" spans="1:25" ht="30.75" customHeight="1">
      <c r="A91" s="182"/>
      <c r="B91" s="183"/>
      <c r="C91" s="183"/>
      <c r="D91" s="183"/>
      <c r="E91" s="183"/>
      <c r="F91" s="183"/>
      <c r="G91" s="183"/>
      <c r="H91" s="183"/>
      <c r="I91" s="184"/>
      <c r="J91" s="185">
        <f>J57+J33+J44+J28+J14+J79</f>
        <v>605548000</v>
      </c>
      <c r="K91" s="185">
        <f>K57+K33+K44+K28+K14+K79+K85</f>
        <v>2632519000</v>
      </c>
      <c r="L91" s="185">
        <f>L57+L33+L44+L28+L14+L79</f>
        <v>2042121850</v>
      </c>
      <c r="M91" s="185">
        <f>M57+M33+M44+M28+M14+M79</f>
        <v>224421150</v>
      </c>
      <c r="N91" s="185">
        <f>J91+K91+L91+M91</f>
        <v>5504610000</v>
      </c>
      <c r="O91" s="185">
        <f>O79+O57+O44+O33+O28+O14</f>
        <v>655548000</v>
      </c>
      <c r="P91" s="185">
        <f>P85+P79+P57+P44+P33+P28+P14</f>
        <v>2327519000</v>
      </c>
      <c r="Q91" s="185">
        <f>Q57+Q44+Q33+Q28+Q14</f>
        <v>1602121850</v>
      </c>
      <c r="R91" s="185">
        <f>R85+R79+R57+R44+R33+R28+R14</f>
        <v>3193922950</v>
      </c>
      <c r="S91" s="185">
        <f>S85+S79+S57+S44+S33+S28+S14</f>
        <v>7816544300</v>
      </c>
      <c r="T91" s="185">
        <f>S91-N91</f>
        <v>2311934300</v>
      </c>
      <c r="U91" s="185"/>
      <c r="V91" s="441"/>
    </row>
    <row r="92" spans="1:25">
      <c r="A92" s="150"/>
      <c r="B92" s="151"/>
      <c r="C92" s="151"/>
      <c r="D92" s="151"/>
      <c r="E92" s="151"/>
      <c r="F92" s="151"/>
      <c r="G92" s="500"/>
      <c r="H92" s="501"/>
      <c r="I92" s="501"/>
      <c r="J92" s="504"/>
      <c r="K92" s="504"/>
      <c r="L92" s="504"/>
      <c r="M92" s="504"/>
      <c r="N92" s="504"/>
      <c r="O92" s="504"/>
      <c r="P92" s="504"/>
      <c r="Q92" s="504"/>
      <c r="R92" s="504"/>
      <c r="S92" s="504"/>
      <c r="T92" s="504"/>
      <c r="U92" s="502"/>
      <c r="V92" s="482"/>
      <c r="Y92" s="78"/>
    </row>
    <row r="93" spans="1:25">
      <c r="A93" s="150" t="s">
        <v>105</v>
      </c>
      <c r="B93" s="151"/>
      <c r="C93" s="151"/>
      <c r="D93" s="151"/>
      <c r="E93" s="151"/>
      <c r="F93" s="151"/>
      <c r="G93" s="1036" t="s">
        <v>836</v>
      </c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  <c r="S93" s="1037"/>
      <c r="T93" s="1037"/>
      <c r="U93" s="1038"/>
      <c r="V93" s="488"/>
      <c r="Y93" s="78"/>
    </row>
    <row r="94" spans="1:25">
      <c r="A94" s="150" t="s">
        <v>106</v>
      </c>
      <c r="B94" s="151"/>
      <c r="C94" s="151" t="s">
        <v>17</v>
      </c>
      <c r="D94" s="1087">
        <v>593373000</v>
      </c>
      <c r="E94" s="1087"/>
      <c r="F94" s="151"/>
      <c r="G94" s="1036" t="s">
        <v>585</v>
      </c>
      <c r="H94" s="1037"/>
      <c r="I94" s="1037"/>
      <c r="J94" s="1037"/>
      <c r="K94" s="1037"/>
      <c r="L94" s="1037"/>
      <c r="M94" s="1037"/>
      <c r="N94" s="1037"/>
      <c r="O94" s="1037"/>
      <c r="P94" s="1037"/>
      <c r="Q94" s="1037"/>
      <c r="R94" s="1037"/>
      <c r="S94" s="1037"/>
      <c r="T94" s="1037"/>
      <c r="U94" s="1038"/>
      <c r="V94" s="488"/>
      <c r="W94" s="78">
        <f>2936109468-T91</f>
        <v>624175168</v>
      </c>
    </row>
    <row r="95" spans="1:25">
      <c r="A95" s="150" t="s">
        <v>107</v>
      </c>
      <c r="B95" s="151"/>
      <c r="C95" s="151" t="s">
        <v>17</v>
      </c>
      <c r="D95" s="1087">
        <v>4649694000</v>
      </c>
      <c r="E95" s="1087"/>
      <c r="F95" s="151"/>
      <c r="G95" s="427"/>
      <c r="H95" s="428"/>
      <c r="I95" s="428"/>
      <c r="J95" s="428"/>
      <c r="K95" s="1087"/>
      <c r="L95" s="1037"/>
      <c r="M95" s="428"/>
      <c r="N95" s="428"/>
      <c r="O95" s="428"/>
      <c r="P95" s="428"/>
      <c r="Q95" s="428"/>
      <c r="R95" s="428"/>
      <c r="S95" s="428"/>
      <c r="T95" s="428"/>
      <c r="U95" s="429"/>
      <c r="V95" s="428"/>
    </row>
    <row r="96" spans="1:25">
      <c r="A96" s="150" t="s">
        <v>108</v>
      </c>
      <c r="B96" s="151"/>
      <c r="C96" s="151" t="s">
        <v>17</v>
      </c>
      <c r="D96" s="1087">
        <v>4787121850</v>
      </c>
      <c r="E96" s="1087"/>
      <c r="F96" s="151"/>
      <c r="G96" s="427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9"/>
      <c r="V96" s="428"/>
      <c r="Y96" s="78"/>
    </row>
    <row r="97" spans="1:25">
      <c r="A97" s="150" t="s">
        <v>109</v>
      </c>
      <c r="B97" s="151"/>
      <c r="C97" s="153" t="s">
        <v>17</v>
      </c>
      <c r="D97" s="1091">
        <v>474421150</v>
      </c>
      <c r="E97" s="1091"/>
      <c r="F97" s="151"/>
      <c r="G97" s="427"/>
      <c r="H97" s="428"/>
      <c r="I97" s="428"/>
      <c r="J97" s="428"/>
      <c r="K97" s="428"/>
      <c r="L97" s="428"/>
      <c r="M97" s="428"/>
      <c r="N97" s="428"/>
      <c r="O97" s="428"/>
      <c r="P97" s="428"/>
      <c r="Q97" s="428"/>
      <c r="R97" s="428"/>
      <c r="S97" s="428"/>
      <c r="T97" s="428"/>
      <c r="U97" s="429"/>
      <c r="V97" s="428"/>
    </row>
    <row r="98" spans="1:25">
      <c r="A98" s="1098" t="s">
        <v>110</v>
      </c>
      <c r="B98" s="1037"/>
      <c r="C98" s="153" t="s">
        <v>17</v>
      </c>
      <c r="D98" s="1099">
        <f>SUM(D94:E97)</f>
        <v>10504610000</v>
      </c>
      <c r="E98" s="1099"/>
      <c r="F98" s="151"/>
      <c r="G98" s="1095" t="s">
        <v>849</v>
      </c>
      <c r="H98" s="1096"/>
      <c r="I98" s="1096"/>
      <c r="J98" s="1096"/>
      <c r="K98" s="1096"/>
      <c r="L98" s="1096"/>
      <c r="M98" s="1096"/>
      <c r="N98" s="1096"/>
      <c r="O98" s="1096"/>
      <c r="P98" s="1096"/>
      <c r="Q98" s="1096"/>
      <c r="R98" s="1096"/>
      <c r="S98" s="1096"/>
      <c r="T98" s="1096"/>
      <c r="U98" s="1097"/>
      <c r="V98" s="430"/>
      <c r="W98" s="78">
        <f>T85+T79+T57+T44+T33+T28+T14</f>
        <v>2311934300</v>
      </c>
    </row>
    <row r="99" spans="1:25">
      <c r="A99" s="150"/>
      <c r="B99" s="151"/>
      <c r="C99" s="151"/>
      <c r="D99" s="151"/>
      <c r="E99" s="151"/>
      <c r="F99" s="151"/>
      <c r="G99" s="1092" t="s">
        <v>850</v>
      </c>
      <c r="H99" s="1043"/>
      <c r="I99" s="1043"/>
      <c r="J99" s="1043"/>
      <c r="K99" s="1043"/>
      <c r="L99" s="1043"/>
      <c r="M99" s="1043"/>
      <c r="N99" s="1043"/>
      <c r="O99" s="1043"/>
      <c r="P99" s="1043"/>
      <c r="Q99" s="1043"/>
      <c r="R99" s="1043"/>
      <c r="S99" s="1043"/>
      <c r="T99" s="1043"/>
      <c r="U99" s="1093"/>
      <c r="V99" s="428"/>
    </row>
    <row r="100" spans="1:25">
      <c r="A100" s="1054" t="s">
        <v>521</v>
      </c>
      <c r="B100" s="1055"/>
      <c r="C100" s="1055"/>
      <c r="D100" s="1055"/>
      <c r="E100" s="1055"/>
      <c r="F100" s="1052"/>
      <c r="G100" s="1094" t="s">
        <v>851</v>
      </c>
      <c r="H100" s="1040"/>
      <c r="I100" s="1040"/>
      <c r="J100" s="1040"/>
      <c r="K100" s="1040"/>
      <c r="L100" s="1040"/>
      <c r="M100" s="1040"/>
      <c r="N100" s="1040"/>
      <c r="O100" s="1040"/>
      <c r="P100" s="1040"/>
      <c r="Q100" s="1040"/>
      <c r="R100" s="1040"/>
      <c r="S100" s="1040"/>
      <c r="T100" s="1040"/>
      <c r="U100" s="1089"/>
      <c r="V100" s="428"/>
      <c r="W100" s="78">
        <f>S91+4355194168</f>
        <v>12171738468</v>
      </c>
      <c r="Y100" t="s">
        <v>891</v>
      </c>
    </row>
    <row r="101" spans="1:25">
      <c r="A101" s="150"/>
      <c r="B101" s="151"/>
      <c r="C101" s="151"/>
      <c r="D101" s="151"/>
      <c r="E101" s="151"/>
      <c r="F101" s="151"/>
      <c r="G101" s="1036" t="s">
        <v>114</v>
      </c>
      <c r="H101" s="1037"/>
      <c r="I101" s="1037"/>
      <c r="J101" s="1037"/>
      <c r="K101" s="1037"/>
      <c r="L101" s="1037"/>
      <c r="M101" s="1037"/>
      <c r="N101" s="1037"/>
      <c r="O101" s="1037"/>
      <c r="P101" s="1037"/>
      <c r="Q101" s="1037"/>
      <c r="R101" s="1037"/>
      <c r="S101" s="1037"/>
      <c r="T101" s="1037"/>
      <c r="U101" s="1038"/>
      <c r="V101" s="428"/>
    </row>
    <row r="102" spans="1:25">
      <c r="A102" s="157">
        <v>1</v>
      </c>
      <c r="B102" s="151" t="s">
        <v>460</v>
      </c>
      <c r="C102" s="151"/>
      <c r="D102" s="151" t="s">
        <v>523</v>
      </c>
      <c r="E102" s="195"/>
      <c r="F102" s="151"/>
      <c r="G102" s="155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86"/>
      <c r="V102" s="435"/>
    </row>
    <row r="103" spans="1:25">
      <c r="A103" s="150"/>
      <c r="B103" s="151"/>
      <c r="C103" s="151"/>
      <c r="D103" s="151"/>
      <c r="E103" s="151"/>
      <c r="F103" s="151"/>
      <c r="G103" s="155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86"/>
      <c r="V103" s="435"/>
    </row>
    <row r="104" spans="1:25">
      <c r="A104" s="150">
        <v>2</v>
      </c>
      <c r="B104" s="151" t="s">
        <v>522</v>
      </c>
      <c r="C104" s="151"/>
      <c r="D104" s="151"/>
      <c r="E104" s="151" t="s">
        <v>524</v>
      </c>
      <c r="F104" s="195"/>
      <c r="G104" s="155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86"/>
      <c r="V104" s="435"/>
    </row>
    <row r="105" spans="1:25">
      <c r="A105" s="150"/>
      <c r="B105" s="151"/>
      <c r="C105" s="151"/>
      <c r="D105" s="151"/>
      <c r="E105" s="151"/>
      <c r="F105" s="151"/>
      <c r="G105" s="1095" t="s">
        <v>839</v>
      </c>
      <c r="H105" s="1096"/>
      <c r="I105" s="1096"/>
      <c r="J105" s="1096"/>
      <c r="K105" s="1096"/>
      <c r="L105" s="1096"/>
      <c r="M105" s="1096"/>
      <c r="N105" s="1096"/>
      <c r="O105" s="1096"/>
      <c r="P105" s="1096"/>
      <c r="Q105" s="1096"/>
      <c r="R105" s="1096"/>
      <c r="S105" s="1096"/>
      <c r="T105" s="1096"/>
      <c r="U105" s="1097"/>
      <c r="V105" s="430"/>
    </row>
    <row r="106" spans="1:25">
      <c r="A106" s="150"/>
      <c r="B106" s="151"/>
      <c r="C106" s="151"/>
      <c r="D106" s="151"/>
      <c r="E106" s="195"/>
      <c r="F106" s="151"/>
      <c r="G106" s="1090" t="s">
        <v>840</v>
      </c>
      <c r="H106" s="1037"/>
      <c r="I106" s="1037"/>
      <c r="J106" s="1037"/>
      <c r="K106" s="1037"/>
      <c r="L106" s="1037"/>
      <c r="M106" s="1037"/>
      <c r="N106" s="1037"/>
      <c r="O106" s="1037"/>
      <c r="P106" s="1037"/>
      <c r="Q106" s="1037"/>
      <c r="R106" s="1037"/>
      <c r="S106" s="1037"/>
      <c r="T106" s="1037"/>
      <c r="U106" s="1038"/>
      <c r="V106" s="428"/>
    </row>
    <row r="107" spans="1:25" ht="15.75" thickBot="1">
      <c r="A107" s="158"/>
      <c r="B107" s="159"/>
      <c r="C107" s="159"/>
      <c r="D107" s="159"/>
      <c r="E107" s="159"/>
      <c r="F107" s="159"/>
      <c r="G107" s="160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87"/>
      <c r="V107" s="435"/>
    </row>
    <row r="109" spans="1:25">
      <c r="N109" s="503">
        <f>10504610000-5000000000</f>
        <v>5504610000</v>
      </c>
    </row>
  </sheetData>
  <mergeCells count="106">
    <mergeCell ref="O9:R9"/>
    <mergeCell ref="T9:U10"/>
    <mergeCell ref="C52:F52"/>
    <mergeCell ref="C47:F47"/>
    <mergeCell ref="C48:F48"/>
    <mergeCell ref="C49:F49"/>
    <mergeCell ref="C50:F50"/>
    <mergeCell ref="C51:F51"/>
    <mergeCell ref="C37:F37"/>
    <mergeCell ref="C38:F38"/>
    <mergeCell ref="C39:F39"/>
    <mergeCell ref="C44:F44"/>
    <mergeCell ref="C45:F45"/>
    <mergeCell ref="C40:F40"/>
    <mergeCell ref="C31:F31"/>
    <mergeCell ref="C32:F32"/>
    <mergeCell ref="C23:F23"/>
    <mergeCell ref="C24:F24"/>
    <mergeCell ref="C25:F25"/>
    <mergeCell ref="C26:F26"/>
    <mergeCell ref="C19:F19"/>
    <mergeCell ref="C20:F20"/>
    <mergeCell ref="C21:F21"/>
    <mergeCell ref="C22:F22"/>
    <mergeCell ref="A100:F100"/>
    <mergeCell ref="G100:U100"/>
    <mergeCell ref="G101:U101"/>
    <mergeCell ref="G105:U105"/>
    <mergeCell ref="G106:U106"/>
    <mergeCell ref="C33:F33"/>
    <mergeCell ref="C34:F34"/>
    <mergeCell ref="C35:F35"/>
    <mergeCell ref="C36:F36"/>
    <mergeCell ref="G99:U99"/>
    <mergeCell ref="D95:E95"/>
    <mergeCell ref="K95:L95"/>
    <mergeCell ref="D96:E96"/>
    <mergeCell ref="D97:E97"/>
    <mergeCell ref="C67:F67"/>
    <mergeCell ref="C79:F79"/>
    <mergeCell ref="C81:F81"/>
    <mergeCell ref="C82:F82"/>
    <mergeCell ref="C83:F83"/>
    <mergeCell ref="C85:F85"/>
    <mergeCell ref="C68:F68"/>
    <mergeCell ref="L46:O46"/>
    <mergeCell ref="P46:U46"/>
    <mergeCell ref="A98:B98"/>
    <mergeCell ref="D98:E98"/>
    <mergeCell ref="G98:U98"/>
    <mergeCell ref="C86:F86"/>
    <mergeCell ref="C87:F87"/>
    <mergeCell ref="C90:F90"/>
    <mergeCell ref="G93:U93"/>
    <mergeCell ref="D94:E94"/>
    <mergeCell ref="G94:U94"/>
    <mergeCell ref="C89:E89"/>
    <mergeCell ref="C88:E88"/>
    <mergeCell ref="C59:F59"/>
    <mergeCell ref="C60:F60"/>
    <mergeCell ref="C27:F27"/>
    <mergeCell ref="C54:F54"/>
    <mergeCell ref="C55:E55"/>
    <mergeCell ref="C57:F57"/>
    <mergeCell ref="C58:F58"/>
    <mergeCell ref="C56:F56"/>
    <mergeCell ref="C28:F28"/>
    <mergeCell ref="C29:F29"/>
    <mergeCell ref="A46:K46"/>
    <mergeCell ref="C41:F41"/>
    <mergeCell ref="C42:F42"/>
    <mergeCell ref="C43:F43"/>
    <mergeCell ref="C30:F30"/>
    <mergeCell ref="L80:O80"/>
    <mergeCell ref="P80:U80"/>
    <mergeCell ref="C71:F71"/>
    <mergeCell ref="C72:F72"/>
    <mergeCell ref="C73:F73"/>
    <mergeCell ref="C74:F74"/>
    <mergeCell ref="A1:U4"/>
    <mergeCell ref="C18:F18"/>
    <mergeCell ref="A7:U7"/>
    <mergeCell ref="A8:U8"/>
    <mergeCell ref="A9:B9"/>
    <mergeCell ref="C9:F9"/>
    <mergeCell ref="J9:M9"/>
    <mergeCell ref="C12:F12"/>
    <mergeCell ref="C14:F14"/>
    <mergeCell ref="C15:F15"/>
    <mergeCell ref="C16:F16"/>
    <mergeCell ref="C17:F17"/>
    <mergeCell ref="C53:F53"/>
    <mergeCell ref="C62:F62"/>
    <mergeCell ref="C63:F63"/>
    <mergeCell ref="C64:F64"/>
    <mergeCell ref="C65:F65"/>
    <mergeCell ref="C66:F66"/>
    <mergeCell ref="C84:F84"/>
    <mergeCell ref="C75:F75"/>
    <mergeCell ref="C76:F76"/>
    <mergeCell ref="C77:F77"/>
    <mergeCell ref="C78:F78"/>
    <mergeCell ref="C69:F69"/>
    <mergeCell ref="C70:F70"/>
    <mergeCell ref="C61:F61"/>
    <mergeCell ref="A80:K80"/>
  </mergeCells>
  <printOptions horizontalCentered="1"/>
  <pageMargins left="0.261811024" right="0.511811023622047" top="0.511811023622047" bottom="0.511811023622047" header="0.31496062992126" footer="0.31496062992126"/>
  <pageSetup paperSize="5" scale="60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09"/>
  <sheetViews>
    <sheetView view="pageBreakPreview" zoomScale="80" zoomScaleSheetLayoutView="80" workbookViewId="0">
      <pane ySplit="12" topLeftCell="A82" activePane="bottomLeft" state="frozen"/>
      <selection activeCell="G1" sqref="G1"/>
      <selection pane="bottomLeft" activeCell="P16" sqref="P16"/>
    </sheetView>
  </sheetViews>
  <sheetFormatPr defaultRowHeight="15"/>
  <cols>
    <col min="1" max="1" width="6.7109375" customWidth="1"/>
    <col min="2" max="2" width="5.7109375" customWidth="1"/>
    <col min="6" max="6" width="2.7109375" customWidth="1"/>
    <col min="7" max="7" width="8.140625" customWidth="1"/>
    <col min="8" max="8" width="5.5703125" customWidth="1"/>
    <col min="9" max="9" width="6.28515625" customWidth="1"/>
    <col min="10" max="10" width="13.42578125" customWidth="1"/>
    <col min="11" max="11" width="15.28515625" customWidth="1"/>
    <col min="12" max="12" width="15.42578125" customWidth="1"/>
    <col min="13" max="13" width="15.5703125" customWidth="1"/>
    <col min="14" max="14" width="20" customWidth="1"/>
    <col min="15" max="19" width="16.5703125" customWidth="1"/>
    <col min="20" max="20" width="16.42578125" customWidth="1"/>
    <col min="21" max="21" width="12.85546875" customWidth="1"/>
    <col min="22" max="22" width="16.42578125" customWidth="1"/>
    <col min="23" max="23" width="18.28515625" customWidth="1"/>
    <col min="25" max="25" width="14.28515625" customWidth="1"/>
  </cols>
  <sheetData>
    <row r="1" spans="1:23">
      <c r="A1" s="1296" t="s">
        <v>1107</v>
      </c>
      <c r="B1" s="1297"/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1297"/>
      <c r="O1" s="1297"/>
      <c r="P1" s="1297"/>
      <c r="Q1" s="1297"/>
      <c r="R1" s="1297"/>
      <c r="S1" s="1297"/>
      <c r="T1" s="1297"/>
      <c r="U1" s="1298"/>
      <c r="V1" s="1011"/>
    </row>
    <row r="2" spans="1:23">
      <c r="A2" s="1299"/>
      <c r="B2" s="1300"/>
      <c r="C2" s="1300"/>
      <c r="D2" s="1300"/>
      <c r="E2" s="1300"/>
      <c r="F2" s="1300"/>
      <c r="G2" s="1300"/>
      <c r="H2" s="1300"/>
      <c r="I2" s="1300"/>
      <c r="J2" s="1300"/>
      <c r="K2" s="1300"/>
      <c r="L2" s="1300"/>
      <c r="M2" s="1300"/>
      <c r="N2" s="1300"/>
      <c r="O2" s="1300"/>
      <c r="P2" s="1300"/>
      <c r="Q2" s="1300"/>
      <c r="R2" s="1300"/>
      <c r="S2" s="1300"/>
      <c r="T2" s="1300"/>
      <c r="U2" s="1301"/>
      <c r="V2" s="1011"/>
    </row>
    <row r="3" spans="1:23">
      <c r="A3" s="1299"/>
      <c r="B3" s="1300"/>
      <c r="C3" s="1300"/>
      <c r="D3" s="1300"/>
      <c r="E3" s="1300"/>
      <c r="F3" s="1300"/>
      <c r="G3" s="1300"/>
      <c r="H3" s="1300"/>
      <c r="I3" s="1300"/>
      <c r="J3" s="1300"/>
      <c r="K3" s="1300"/>
      <c r="L3" s="1300"/>
      <c r="M3" s="1300"/>
      <c r="N3" s="1300"/>
      <c r="O3" s="1300"/>
      <c r="P3" s="1300"/>
      <c r="Q3" s="1300"/>
      <c r="R3" s="1300"/>
      <c r="S3" s="1300"/>
      <c r="T3" s="1300"/>
      <c r="U3" s="1301"/>
      <c r="V3" s="1011"/>
    </row>
    <row r="4" spans="1:23">
      <c r="A4" s="1302"/>
      <c r="B4" s="1303"/>
      <c r="C4" s="1303"/>
      <c r="D4" s="1303"/>
      <c r="E4" s="1303"/>
      <c r="F4" s="1303"/>
      <c r="G4" s="1303"/>
      <c r="H4" s="1303"/>
      <c r="I4" s="1303"/>
      <c r="J4" s="1303"/>
      <c r="K4" s="1303"/>
      <c r="L4" s="1303"/>
      <c r="M4" s="1303"/>
      <c r="N4" s="1303"/>
      <c r="O4" s="1303"/>
      <c r="P4" s="1303"/>
      <c r="Q4" s="1303"/>
      <c r="R4" s="1303"/>
      <c r="S4" s="1303"/>
      <c r="T4" s="1303"/>
      <c r="U4" s="1304"/>
      <c r="V4" s="151"/>
    </row>
    <row r="5" spans="1:23">
      <c r="A5" s="150" t="s">
        <v>5</v>
      </c>
      <c r="B5" s="151"/>
      <c r="C5" s="151"/>
      <c r="D5" s="151"/>
      <c r="E5" s="151" t="s">
        <v>6</v>
      </c>
      <c r="F5" s="151" t="s">
        <v>559</v>
      </c>
      <c r="G5" s="151"/>
      <c r="H5" s="151" t="s">
        <v>8</v>
      </c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2"/>
      <c r="V5" s="151"/>
    </row>
    <row r="6" spans="1:23">
      <c r="A6" s="150" t="s">
        <v>9</v>
      </c>
      <c r="B6" s="151"/>
      <c r="C6" s="151"/>
      <c r="D6" s="151"/>
      <c r="E6" s="151" t="s">
        <v>6</v>
      </c>
      <c r="F6" s="151" t="s">
        <v>652</v>
      </c>
      <c r="G6" s="151"/>
      <c r="H6" s="151" t="s">
        <v>11</v>
      </c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435"/>
      <c r="T6" s="151"/>
      <c r="U6" s="152"/>
      <c r="V6" s="151"/>
    </row>
    <row r="7" spans="1:23">
      <c r="A7" s="1045" t="s">
        <v>50</v>
      </c>
      <c r="B7" s="1046"/>
      <c r="C7" s="1046"/>
      <c r="D7" s="1046"/>
      <c r="E7" s="1046"/>
      <c r="F7" s="1046"/>
      <c r="G7" s="1046"/>
      <c r="H7" s="1046"/>
      <c r="I7" s="1046"/>
      <c r="J7" s="1046"/>
      <c r="K7" s="1046"/>
      <c r="L7" s="1046"/>
      <c r="M7" s="1046"/>
      <c r="N7" s="1046"/>
      <c r="O7" s="1046"/>
      <c r="P7" s="1046"/>
      <c r="Q7" s="1046"/>
      <c r="R7" s="1046"/>
      <c r="S7" s="1046"/>
      <c r="T7" s="1046"/>
      <c r="U7" s="1047"/>
      <c r="V7" s="1017"/>
    </row>
    <row r="8" spans="1:23">
      <c r="A8" s="1048" t="s">
        <v>51</v>
      </c>
      <c r="B8" s="1049"/>
      <c r="C8" s="1049"/>
      <c r="D8" s="1049"/>
      <c r="E8" s="1049"/>
      <c r="F8" s="1049"/>
      <c r="G8" s="1049"/>
      <c r="H8" s="1049"/>
      <c r="I8" s="1049"/>
      <c r="J8" s="1049"/>
      <c r="K8" s="1049"/>
      <c r="L8" s="1049"/>
      <c r="M8" s="1049"/>
      <c r="N8" s="1049"/>
      <c r="O8" s="1049"/>
      <c r="P8" s="1049"/>
      <c r="Q8" s="1049"/>
      <c r="R8" s="1049"/>
      <c r="S8" s="1049"/>
      <c r="T8" s="1049"/>
      <c r="U8" s="1050"/>
      <c r="V8" s="1017"/>
    </row>
    <row r="9" spans="1:23">
      <c r="A9" s="1051" t="s">
        <v>52</v>
      </c>
      <c r="B9" s="1052"/>
      <c r="C9" s="1053" t="s">
        <v>14</v>
      </c>
      <c r="D9" s="1040"/>
      <c r="E9" s="1040"/>
      <c r="F9" s="1041"/>
      <c r="G9" s="163" t="s">
        <v>53</v>
      </c>
      <c r="H9" s="163" t="s">
        <v>54</v>
      </c>
      <c r="I9" s="163" t="s">
        <v>55</v>
      </c>
      <c r="J9" s="1054" t="s">
        <v>845</v>
      </c>
      <c r="K9" s="1055"/>
      <c r="L9" s="1055"/>
      <c r="M9" s="1052"/>
      <c r="N9" s="218" t="s">
        <v>15</v>
      </c>
      <c r="O9" s="1054" t="s">
        <v>846</v>
      </c>
      <c r="P9" s="1055"/>
      <c r="Q9" s="1055"/>
      <c r="R9" s="1052"/>
      <c r="S9" s="218" t="s">
        <v>15</v>
      </c>
      <c r="T9" s="1039" t="s">
        <v>848</v>
      </c>
      <c r="U9" s="1089"/>
      <c r="V9" s="1011"/>
    </row>
    <row r="10" spans="1:23" ht="15.75" thickBot="1">
      <c r="A10" s="219" t="s">
        <v>57</v>
      </c>
      <c r="B10" s="163" t="s">
        <v>58</v>
      </c>
      <c r="C10" s="155"/>
      <c r="D10" s="151"/>
      <c r="E10" s="151"/>
      <c r="F10" s="156"/>
      <c r="G10" s="165"/>
      <c r="H10" s="166" t="s">
        <v>59</v>
      </c>
      <c r="I10" s="166" t="s">
        <v>60</v>
      </c>
      <c r="J10" s="1010" t="s">
        <v>32</v>
      </c>
      <c r="K10" s="1013" t="s">
        <v>33</v>
      </c>
      <c r="L10" s="1010" t="s">
        <v>34</v>
      </c>
      <c r="M10" s="1010" t="s">
        <v>35</v>
      </c>
      <c r="N10" s="220" t="s">
        <v>61</v>
      </c>
      <c r="O10" s="220" t="s">
        <v>32</v>
      </c>
      <c r="P10" s="220" t="s">
        <v>33</v>
      </c>
      <c r="Q10" s="220" t="s">
        <v>34</v>
      </c>
      <c r="R10" s="220" t="s">
        <v>35</v>
      </c>
      <c r="S10" s="220" t="s">
        <v>61</v>
      </c>
      <c r="T10" s="1316"/>
      <c r="U10" s="1317"/>
      <c r="V10" s="1011"/>
    </row>
    <row r="11" spans="1:23">
      <c r="A11" s="221"/>
      <c r="B11" s="167"/>
      <c r="C11" s="161"/>
      <c r="D11" s="154"/>
      <c r="E11" s="154"/>
      <c r="F11" s="162"/>
      <c r="G11" s="167"/>
      <c r="H11" s="167" t="s">
        <v>62</v>
      </c>
      <c r="I11" s="167"/>
      <c r="J11" s="161"/>
      <c r="K11" s="161"/>
      <c r="L11" s="161"/>
      <c r="M11" s="161"/>
      <c r="N11" s="222"/>
      <c r="O11" s="222"/>
      <c r="P11" s="222"/>
      <c r="Q11" s="222"/>
      <c r="R11" s="222"/>
      <c r="S11" s="222"/>
      <c r="T11" s="456" t="s">
        <v>17</v>
      </c>
      <c r="U11" s="456" t="s">
        <v>847</v>
      </c>
      <c r="V11" s="151"/>
    </row>
    <row r="12" spans="1:23">
      <c r="A12" s="223">
        <v>1</v>
      </c>
      <c r="B12" s="1009">
        <v>2</v>
      </c>
      <c r="C12" s="1054">
        <v>3</v>
      </c>
      <c r="D12" s="1055"/>
      <c r="E12" s="1055"/>
      <c r="F12" s="1052"/>
      <c r="G12" s="168">
        <v>4</v>
      </c>
      <c r="H12" s="1009">
        <v>5</v>
      </c>
      <c r="I12" s="168">
        <v>6</v>
      </c>
      <c r="J12" s="1009">
        <v>7</v>
      </c>
      <c r="K12" s="168">
        <v>8</v>
      </c>
      <c r="L12" s="1009">
        <v>9</v>
      </c>
      <c r="M12" s="168">
        <v>10</v>
      </c>
      <c r="N12" s="224">
        <v>11</v>
      </c>
      <c r="O12" s="224">
        <v>12</v>
      </c>
      <c r="P12" s="224">
        <v>13</v>
      </c>
      <c r="Q12" s="224">
        <v>14</v>
      </c>
      <c r="R12" s="224">
        <v>15</v>
      </c>
      <c r="S12" s="224">
        <v>16</v>
      </c>
      <c r="T12" s="224">
        <v>17</v>
      </c>
      <c r="U12" s="224">
        <v>18</v>
      </c>
      <c r="V12" s="1011"/>
    </row>
    <row r="13" spans="1:23" ht="12.75" customHeight="1">
      <c r="A13" s="150"/>
      <c r="B13" s="164"/>
      <c r="C13" s="151"/>
      <c r="D13" s="151"/>
      <c r="E13" s="151"/>
      <c r="F13" s="151"/>
      <c r="G13" s="164"/>
      <c r="H13" s="151"/>
      <c r="I13" s="164"/>
      <c r="J13" s="151"/>
      <c r="K13" s="165"/>
      <c r="L13" s="151"/>
      <c r="M13" s="165"/>
      <c r="N13" s="151"/>
      <c r="O13" s="151"/>
      <c r="P13" s="151"/>
      <c r="Q13" s="151"/>
      <c r="R13" s="151"/>
      <c r="S13" s="151"/>
      <c r="T13" s="151"/>
      <c r="U13" s="152"/>
      <c r="V13" s="151"/>
    </row>
    <row r="14" spans="1:23" ht="24.75" customHeight="1">
      <c r="A14" s="225" t="s">
        <v>63</v>
      </c>
      <c r="B14" s="171"/>
      <c r="C14" s="1057" t="s">
        <v>64</v>
      </c>
      <c r="D14" s="1057"/>
      <c r="E14" s="1057"/>
      <c r="F14" s="1057"/>
      <c r="G14" s="171"/>
      <c r="H14" s="168"/>
      <c r="I14" s="168"/>
      <c r="J14" s="176">
        <f>SUM(J15:J27)</f>
        <v>90093000</v>
      </c>
      <c r="K14" s="176">
        <f>SUM(K15:K27)</f>
        <v>92564000</v>
      </c>
      <c r="L14" s="176">
        <f>SUM(L15:L27)</f>
        <v>72429350</v>
      </c>
      <c r="M14" s="176">
        <f>SUM(M15:M27)</f>
        <v>60228650</v>
      </c>
      <c r="N14" s="442">
        <f>J14+K14+L14+M14</f>
        <v>315315000</v>
      </c>
      <c r="O14" s="176">
        <f t="shared" ref="O14:T14" si="0">SUM(O15:O27)</f>
        <v>90093000</v>
      </c>
      <c r="P14" s="176">
        <f t="shared" si="0"/>
        <v>92564000</v>
      </c>
      <c r="Q14" s="176">
        <f t="shared" si="0"/>
        <v>72429350</v>
      </c>
      <c r="R14" s="442">
        <f t="shared" si="0"/>
        <v>88428650</v>
      </c>
      <c r="S14" s="442">
        <f t="shared" si="0"/>
        <v>343515000</v>
      </c>
      <c r="T14" s="442">
        <f t="shared" si="0"/>
        <v>28200000</v>
      </c>
      <c r="U14" s="226"/>
      <c r="V14" s="434"/>
      <c r="W14" s="78"/>
    </row>
    <row r="15" spans="1:23">
      <c r="A15" s="180"/>
      <c r="B15" s="170" t="s">
        <v>65</v>
      </c>
      <c r="C15" s="1058" t="s">
        <v>66</v>
      </c>
      <c r="D15" s="1059"/>
      <c r="E15" s="1059"/>
      <c r="F15" s="1060"/>
      <c r="G15" s="171" t="s">
        <v>67</v>
      </c>
      <c r="H15" s="172">
        <v>1</v>
      </c>
      <c r="I15" s="168" t="s">
        <v>68</v>
      </c>
      <c r="J15" s="177">
        <v>363000</v>
      </c>
      <c r="K15" s="177">
        <v>324000</v>
      </c>
      <c r="L15" s="177">
        <v>276000</v>
      </c>
      <c r="M15" s="177">
        <v>219000</v>
      </c>
      <c r="N15" s="445">
        <f>J15+K15+L15+M15</f>
        <v>1182000</v>
      </c>
      <c r="O15" s="177">
        <v>363000</v>
      </c>
      <c r="P15" s="177">
        <v>324000</v>
      </c>
      <c r="Q15" s="177">
        <v>276000</v>
      </c>
      <c r="R15" s="445">
        <f>219000+300000</f>
        <v>519000</v>
      </c>
      <c r="S15" s="445">
        <f>O15+P15+Q15+R15</f>
        <v>1482000</v>
      </c>
      <c r="T15" s="445">
        <f>S15-N15</f>
        <v>300000</v>
      </c>
      <c r="U15" s="181">
        <f>T15/N15*100</f>
        <v>25.380710659898476</v>
      </c>
      <c r="V15" s="435"/>
      <c r="W15" s="78" t="s">
        <v>814</v>
      </c>
    </row>
    <row r="16" spans="1:23" ht="21.75" customHeight="1">
      <c r="A16" s="180"/>
      <c r="B16" s="173" t="s">
        <v>69</v>
      </c>
      <c r="C16" s="1061" t="s">
        <v>445</v>
      </c>
      <c r="D16" s="1061"/>
      <c r="E16" s="1061"/>
      <c r="F16" s="1061"/>
      <c r="G16" s="171" t="s">
        <v>67</v>
      </c>
      <c r="H16" s="172">
        <v>1</v>
      </c>
      <c r="I16" s="168" t="s">
        <v>68</v>
      </c>
      <c r="J16" s="177">
        <v>12000000</v>
      </c>
      <c r="K16" s="177">
        <v>12000000</v>
      </c>
      <c r="L16" s="177">
        <v>9175000</v>
      </c>
      <c r="M16" s="177">
        <v>9175000</v>
      </c>
      <c r="N16" s="445">
        <f t="shared" ref="N16:N51" si="1">J16+K16+L16+M16</f>
        <v>42350000</v>
      </c>
      <c r="O16" s="177">
        <v>12000000</v>
      </c>
      <c r="P16" s="177">
        <v>12000000</v>
      </c>
      <c r="Q16" s="177">
        <v>9175000</v>
      </c>
      <c r="R16" s="445">
        <v>17875000</v>
      </c>
      <c r="S16" s="445">
        <f>O16+P16+Q16+R16</f>
        <v>51050000</v>
      </c>
      <c r="T16" s="445">
        <f>S16-N16</f>
        <v>8700000</v>
      </c>
      <c r="U16" s="181">
        <f t="shared" ref="U16:U39" si="2">T16/N16*100</f>
        <v>20.543093270365997</v>
      </c>
      <c r="V16" s="435"/>
      <c r="W16" s="78" t="s">
        <v>814</v>
      </c>
    </row>
    <row r="17" spans="1:23" ht="15" customHeight="1">
      <c r="A17" s="180"/>
      <c r="B17" s="173" t="s">
        <v>70</v>
      </c>
      <c r="C17" s="1056" t="s">
        <v>71</v>
      </c>
      <c r="D17" s="1056"/>
      <c r="E17" s="1056"/>
      <c r="F17" s="1056"/>
      <c r="G17" s="171" t="s">
        <v>67</v>
      </c>
      <c r="H17" s="172">
        <v>1</v>
      </c>
      <c r="I17" s="168" t="s">
        <v>68</v>
      </c>
      <c r="J17" s="177">
        <v>11775000</v>
      </c>
      <c r="K17" s="177">
        <v>11775000</v>
      </c>
      <c r="L17" s="177">
        <v>11775000</v>
      </c>
      <c r="M17" s="177">
        <v>4675000</v>
      </c>
      <c r="N17" s="445">
        <f t="shared" si="1"/>
        <v>40000000</v>
      </c>
      <c r="O17" s="177">
        <v>11775000</v>
      </c>
      <c r="P17" s="177">
        <v>11775000</v>
      </c>
      <c r="Q17" s="177">
        <v>11775000</v>
      </c>
      <c r="R17" s="445">
        <f>M17+11900000</f>
        <v>16575000</v>
      </c>
      <c r="S17" s="445">
        <f t="shared" ref="S17:S39" si="3">O17+P17+Q17+R17</f>
        <v>51900000</v>
      </c>
      <c r="T17" s="445">
        <f t="shared" ref="T17:T39" si="4">S17-N17</f>
        <v>11900000</v>
      </c>
      <c r="U17" s="181">
        <f t="shared" si="2"/>
        <v>29.75</v>
      </c>
      <c r="V17" s="435"/>
      <c r="W17" s="78" t="s">
        <v>814</v>
      </c>
    </row>
    <row r="18" spans="1:23">
      <c r="A18" s="180"/>
      <c r="B18" s="170" t="s">
        <v>72</v>
      </c>
      <c r="C18" s="1062" t="s">
        <v>73</v>
      </c>
      <c r="D18" s="1063"/>
      <c r="E18" s="1063"/>
      <c r="F18" s="1064"/>
      <c r="G18" s="171" t="s">
        <v>67</v>
      </c>
      <c r="H18" s="172">
        <v>1</v>
      </c>
      <c r="I18" s="168" t="s">
        <v>68</v>
      </c>
      <c r="J18" s="177">
        <v>4200000</v>
      </c>
      <c r="K18" s="177">
        <v>4000000</v>
      </c>
      <c r="L18" s="177">
        <v>3300000</v>
      </c>
      <c r="M18" s="177">
        <v>3256300</v>
      </c>
      <c r="N18" s="445">
        <f t="shared" si="1"/>
        <v>14756300</v>
      </c>
      <c r="O18" s="177">
        <v>4200000</v>
      </c>
      <c r="P18" s="177">
        <v>4000000</v>
      </c>
      <c r="Q18" s="177">
        <v>3300000</v>
      </c>
      <c r="R18" s="445">
        <v>3256300</v>
      </c>
      <c r="S18" s="445">
        <f t="shared" si="3"/>
        <v>14756300</v>
      </c>
      <c r="T18" s="445">
        <f t="shared" si="4"/>
        <v>0</v>
      </c>
      <c r="U18" s="181">
        <f t="shared" si="2"/>
        <v>0</v>
      </c>
      <c r="V18" s="435"/>
      <c r="W18" s="78" t="s">
        <v>814</v>
      </c>
    </row>
    <row r="19" spans="1:23" ht="15" customHeight="1">
      <c r="A19" s="180"/>
      <c r="B19" s="173" t="s">
        <v>74</v>
      </c>
      <c r="C19" s="1056" t="s">
        <v>75</v>
      </c>
      <c r="D19" s="1056"/>
      <c r="E19" s="1056"/>
      <c r="F19" s="1056"/>
      <c r="G19" s="171" t="s">
        <v>67</v>
      </c>
      <c r="H19" s="174">
        <v>1</v>
      </c>
      <c r="I19" s="175" t="s">
        <v>68</v>
      </c>
      <c r="J19" s="178">
        <v>4000000</v>
      </c>
      <c r="K19" s="178">
        <v>3500000</v>
      </c>
      <c r="L19" s="178">
        <v>3759850</v>
      </c>
      <c r="M19" s="178">
        <v>3759850</v>
      </c>
      <c r="N19" s="445">
        <f t="shared" si="1"/>
        <v>15019700</v>
      </c>
      <c r="O19" s="178">
        <v>4000000</v>
      </c>
      <c r="P19" s="178">
        <v>3500000</v>
      </c>
      <c r="Q19" s="178">
        <v>3759850</v>
      </c>
      <c r="R19" s="445">
        <v>4759850</v>
      </c>
      <c r="S19" s="445">
        <f t="shared" si="3"/>
        <v>16019700</v>
      </c>
      <c r="T19" s="445">
        <f t="shared" si="4"/>
        <v>1000000</v>
      </c>
      <c r="U19" s="181">
        <f t="shared" si="2"/>
        <v>6.657922594991911</v>
      </c>
      <c r="V19" s="435"/>
      <c r="W19" s="78" t="s">
        <v>814</v>
      </c>
    </row>
    <row r="20" spans="1:23" ht="15" customHeight="1">
      <c r="A20" s="180"/>
      <c r="B20" s="173" t="s">
        <v>76</v>
      </c>
      <c r="C20" s="1061" t="s">
        <v>77</v>
      </c>
      <c r="D20" s="1061"/>
      <c r="E20" s="1061"/>
      <c r="F20" s="1061"/>
      <c r="G20" s="171" t="s">
        <v>67</v>
      </c>
      <c r="H20" s="172">
        <v>1</v>
      </c>
      <c r="I20" s="168" t="s">
        <v>68</v>
      </c>
      <c r="J20" s="177">
        <v>1000000</v>
      </c>
      <c r="K20" s="177">
        <v>1000000</v>
      </c>
      <c r="L20" s="177">
        <v>668500</v>
      </c>
      <c r="M20" s="177">
        <v>668500</v>
      </c>
      <c r="N20" s="445">
        <f t="shared" si="1"/>
        <v>3337000</v>
      </c>
      <c r="O20" s="177">
        <v>1000000</v>
      </c>
      <c r="P20" s="177">
        <v>1000000</v>
      </c>
      <c r="Q20" s="177">
        <v>668500</v>
      </c>
      <c r="R20" s="445">
        <f t="shared" ref="R20:R25" si="5">M20</f>
        <v>668500</v>
      </c>
      <c r="S20" s="445">
        <f t="shared" si="3"/>
        <v>3337000</v>
      </c>
      <c r="T20" s="445">
        <f t="shared" si="4"/>
        <v>0</v>
      </c>
      <c r="U20" s="181">
        <f t="shared" si="2"/>
        <v>0</v>
      </c>
      <c r="V20" s="435"/>
      <c r="W20" s="78" t="s">
        <v>814</v>
      </c>
    </row>
    <row r="21" spans="1:23" ht="25.5" customHeight="1">
      <c r="A21" s="180"/>
      <c r="B21" s="173" t="s">
        <v>78</v>
      </c>
      <c r="C21" s="1056" t="s">
        <v>79</v>
      </c>
      <c r="D21" s="1056"/>
      <c r="E21" s="1056"/>
      <c r="F21" s="1056"/>
      <c r="G21" s="171" t="s">
        <v>67</v>
      </c>
      <c r="H21" s="172">
        <v>1</v>
      </c>
      <c r="I21" s="168" t="s">
        <v>68</v>
      </c>
      <c r="J21" s="177">
        <v>3000000</v>
      </c>
      <c r="K21" s="177">
        <v>3000000</v>
      </c>
      <c r="L21" s="177">
        <v>2360000</v>
      </c>
      <c r="M21" s="177">
        <v>2360000</v>
      </c>
      <c r="N21" s="445">
        <f t="shared" si="1"/>
        <v>10720000</v>
      </c>
      <c r="O21" s="177">
        <v>3000000</v>
      </c>
      <c r="P21" s="177">
        <v>3000000</v>
      </c>
      <c r="Q21" s="177">
        <v>2360000</v>
      </c>
      <c r="R21" s="445">
        <f t="shared" si="5"/>
        <v>2360000</v>
      </c>
      <c r="S21" s="445">
        <f t="shared" si="3"/>
        <v>10720000</v>
      </c>
      <c r="T21" s="445">
        <f t="shared" si="4"/>
        <v>0</v>
      </c>
      <c r="U21" s="181">
        <f t="shared" si="2"/>
        <v>0</v>
      </c>
      <c r="V21" s="435"/>
      <c r="W21" s="78" t="s">
        <v>814</v>
      </c>
    </row>
    <row r="22" spans="1:23" ht="21.75" customHeight="1">
      <c r="A22" s="180"/>
      <c r="B22" s="173" t="s">
        <v>80</v>
      </c>
      <c r="C22" s="1061" t="s">
        <v>81</v>
      </c>
      <c r="D22" s="1061"/>
      <c r="E22" s="1061"/>
      <c r="F22" s="1061"/>
      <c r="G22" s="171" t="s">
        <v>67</v>
      </c>
      <c r="H22" s="174">
        <v>1</v>
      </c>
      <c r="I22" s="175" t="s">
        <v>68</v>
      </c>
      <c r="J22" s="178">
        <v>945000</v>
      </c>
      <c r="K22" s="178">
        <v>945000</v>
      </c>
      <c r="L22" s="178">
        <v>945000</v>
      </c>
      <c r="M22" s="178">
        <v>945000</v>
      </c>
      <c r="N22" s="445">
        <f t="shared" si="1"/>
        <v>3780000</v>
      </c>
      <c r="O22" s="178">
        <v>945000</v>
      </c>
      <c r="P22" s="178">
        <v>945000</v>
      </c>
      <c r="Q22" s="178">
        <v>945000</v>
      </c>
      <c r="R22" s="445">
        <f t="shared" si="5"/>
        <v>945000</v>
      </c>
      <c r="S22" s="445">
        <f t="shared" si="3"/>
        <v>3780000</v>
      </c>
      <c r="T22" s="445">
        <f t="shared" si="4"/>
        <v>0</v>
      </c>
      <c r="U22" s="181">
        <f t="shared" si="2"/>
        <v>0</v>
      </c>
      <c r="V22" s="435"/>
      <c r="W22" s="78" t="s">
        <v>814</v>
      </c>
    </row>
    <row r="23" spans="1:23">
      <c r="A23" s="180"/>
      <c r="B23" s="170" t="s">
        <v>82</v>
      </c>
      <c r="C23" s="1058" t="s">
        <v>83</v>
      </c>
      <c r="D23" s="1059"/>
      <c r="E23" s="1059"/>
      <c r="F23" s="1060"/>
      <c r="G23" s="171" t="s">
        <v>67</v>
      </c>
      <c r="H23" s="172">
        <v>1</v>
      </c>
      <c r="I23" s="168" t="s">
        <v>68</v>
      </c>
      <c r="J23" s="177">
        <v>3000000</v>
      </c>
      <c r="K23" s="177">
        <v>3000000</v>
      </c>
      <c r="L23" s="177">
        <v>2500000</v>
      </c>
      <c r="M23" s="177">
        <v>2500000</v>
      </c>
      <c r="N23" s="445">
        <f t="shared" si="1"/>
        <v>11000000</v>
      </c>
      <c r="O23" s="177">
        <v>3000000</v>
      </c>
      <c r="P23" s="177">
        <v>3000000</v>
      </c>
      <c r="Q23" s="177">
        <v>2500000</v>
      </c>
      <c r="R23" s="445">
        <f t="shared" si="5"/>
        <v>2500000</v>
      </c>
      <c r="S23" s="445">
        <f t="shared" si="3"/>
        <v>11000000</v>
      </c>
      <c r="T23" s="445">
        <f t="shared" si="4"/>
        <v>0</v>
      </c>
      <c r="U23" s="181">
        <f t="shared" si="2"/>
        <v>0</v>
      </c>
      <c r="V23" s="435"/>
      <c r="W23" s="78" t="s">
        <v>814</v>
      </c>
    </row>
    <row r="24" spans="1:23" ht="21" customHeight="1">
      <c r="A24" s="180"/>
      <c r="B24" s="173" t="s">
        <v>84</v>
      </c>
      <c r="C24" s="1056" t="s">
        <v>85</v>
      </c>
      <c r="D24" s="1056"/>
      <c r="E24" s="1056"/>
      <c r="F24" s="1056"/>
      <c r="G24" s="171" t="s">
        <v>67</v>
      </c>
      <c r="H24" s="172">
        <v>1</v>
      </c>
      <c r="I24" s="168" t="s">
        <v>68</v>
      </c>
      <c r="J24" s="177">
        <v>40000000</v>
      </c>
      <c r="K24" s="177">
        <v>40000000</v>
      </c>
      <c r="L24" s="177">
        <v>25000000</v>
      </c>
      <c r="M24" s="177">
        <v>20000000</v>
      </c>
      <c r="N24" s="445">
        <f t="shared" si="1"/>
        <v>125000000</v>
      </c>
      <c r="O24" s="177">
        <v>40000000</v>
      </c>
      <c r="P24" s="177">
        <v>40000000</v>
      </c>
      <c r="Q24" s="177">
        <v>25000000</v>
      </c>
      <c r="R24" s="445">
        <f t="shared" si="5"/>
        <v>20000000</v>
      </c>
      <c r="S24" s="445">
        <f t="shared" si="3"/>
        <v>125000000</v>
      </c>
      <c r="T24" s="445">
        <f t="shared" si="4"/>
        <v>0</v>
      </c>
      <c r="U24" s="181">
        <f t="shared" si="2"/>
        <v>0</v>
      </c>
      <c r="V24" s="435"/>
      <c r="W24" s="78" t="s">
        <v>814</v>
      </c>
    </row>
    <row r="25" spans="1:23" ht="21" customHeight="1">
      <c r="A25" s="180"/>
      <c r="B25" s="173" t="s">
        <v>86</v>
      </c>
      <c r="C25" s="1056" t="s">
        <v>87</v>
      </c>
      <c r="D25" s="1056"/>
      <c r="E25" s="1056"/>
      <c r="F25" s="1056"/>
      <c r="G25" s="171" t="s">
        <v>67</v>
      </c>
      <c r="H25" s="172">
        <v>1</v>
      </c>
      <c r="I25" s="168" t="s">
        <v>68</v>
      </c>
      <c r="J25" s="177">
        <v>3000000</v>
      </c>
      <c r="K25" s="177">
        <v>3000000</v>
      </c>
      <c r="L25" s="177">
        <v>2650000</v>
      </c>
      <c r="M25" s="177">
        <v>2650000</v>
      </c>
      <c r="N25" s="445">
        <f t="shared" si="1"/>
        <v>11300000</v>
      </c>
      <c r="O25" s="177">
        <v>3000000</v>
      </c>
      <c r="P25" s="177">
        <v>3000000</v>
      </c>
      <c r="Q25" s="177">
        <v>2650000</v>
      </c>
      <c r="R25" s="445">
        <f t="shared" si="5"/>
        <v>2650000</v>
      </c>
      <c r="S25" s="445">
        <f t="shared" si="3"/>
        <v>11300000</v>
      </c>
      <c r="T25" s="445">
        <f t="shared" si="4"/>
        <v>0</v>
      </c>
      <c r="U25" s="181">
        <f t="shared" si="2"/>
        <v>0</v>
      </c>
      <c r="V25" s="435"/>
      <c r="W25" s="78" t="s">
        <v>814</v>
      </c>
    </row>
    <row r="26" spans="1:23" ht="21.75" customHeight="1">
      <c r="A26" s="180"/>
      <c r="B26" s="173" t="s">
        <v>88</v>
      </c>
      <c r="C26" s="1056" t="s">
        <v>89</v>
      </c>
      <c r="D26" s="1056"/>
      <c r="E26" s="1056"/>
      <c r="F26" s="1056"/>
      <c r="G26" s="171" t="s">
        <v>67</v>
      </c>
      <c r="H26" s="174">
        <v>1</v>
      </c>
      <c r="I26" s="175" t="s">
        <v>68</v>
      </c>
      <c r="J26" s="178">
        <v>6810000</v>
      </c>
      <c r="K26" s="178">
        <v>6810000</v>
      </c>
      <c r="L26" s="178">
        <v>6810000</v>
      </c>
      <c r="M26" s="178">
        <v>6810000</v>
      </c>
      <c r="N26" s="445">
        <f t="shared" si="1"/>
        <v>27240000</v>
      </c>
      <c r="O26" s="178">
        <v>6810000</v>
      </c>
      <c r="P26" s="178">
        <v>6810000</v>
      </c>
      <c r="Q26" s="178">
        <v>6810000</v>
      </c>
      <c r="R26" s="445">
        <f>M26+6300000</f>
        <v>13110000</v>
      </c>
      <c r="S26" s="445">
        <f t="shared" si="3"/>
        <v>33540000</v>
      </c>
      <c r="T26" s="445">
        <f t="shared" si="4"/>
        <v>6300000</v>
      </c>
      <c r="U26" s="181">
        <f t="shared" si="2"/>
        <v>23.127753303964756</v>
      </c>
      <c r="V26" s="435"/>
      <c r="W26" s="78" t="s">
        <v>814</v>
      </c>
    </row>
    <row r="27" spans="1:23" ht="23.25" customHeight="1">
      <c r="A27" s="180"/>
      <c r="B27" s="173" t="s">
        <v>90</v>
      </c>
      <c r="C27" s="1068" t="s">
        <v>91</v>
      </c>
      <c r="D27" s="1069"/>
      <c r="E27" s="1069"/>
      <c r="F27" s="1070"/>
      <c r="G27" s="171" t="s">
        <v>67</v>
      </c>
      <c r="H27" s="172">
        <v>1</v>
      </c>
      <c r="I27" s="168" t="s">
        <v>68</v>
      </c>
      <c r="J27" s="177">
        <v>0</v>
      </c>
      <c r="K27" s="177">
        <v>3210000</v>
      </c>
      <c r="L27" s="177">
        <f>K27</f>
        <v>3210000</v>
      </c>
      <c r="M27" s="177">
        <f>L27</f>
        <v>3210000</v>
      </c>
      <c r="N27" s="445">
        <f t="shared" si="1"/>
        <v>9630000</v>
      </c>
      <c r="O27" s="177">
        <v>0</v>
      </c>
      <c r="P27" s="177">
        <v>3210000</v>
      </c>
      <c r="Q27" s="177">
        <f>P27</f>
        <v>3210000</v>
      </c>
      <c r="R27" s="445">
        <f>M27</f>
        <v>3210000</v>
      </c>
      <c r="S27" s="445">
        <f t="shared" si="3"/>
        <v>9630000</v>
      </c>
      <c r="T27" s="445">
        <f t="shared" si="4"/>
        <v>0</v>
      </c>
      <c r="U27" s="181">
        <f t="shared" si="2"/>
        <v>0</v>
      </c>
      <c r="V27" s="435"/>
      <c r="W27" s="78" t="s">
        <v>814</v>
      </c>
    </row>
    <row r="28" spans="1:23" ht="26.25" customHeight="1">
      <c r="A28" s="225" t="s">
        <v>92</v>
      </c>
      <c r="B28" s="171"/>
      <c r="C28" s="1057" t="s">
        <v>93</v>
      </c>
      <c r="D28" s="1057"/>
      <c r="E28" s="1057"/>
      <c r="F28" s="1057"/>
      <c r="G28" s="171"/>
      <c r="H28" s="168"/>
      <c r="I28" s="168"/>
      <c r="J28" s="176">
        <f>J29+J30+J31+J32</f>
        <v>37955000</v>
      </c>
      <c r="K28" s="176">
        <f>K29+K30+K31+K32</f>
        <v>32455000</v>
      </c>
      <c r="L28" s="176">
        <f>L29+L30+L31+L32</f>
        <v>34692500</v>
      </c>
      <c r="M28" s="176">
        <f>M29+M30+M31+M32</f>
        <v>34192500</v>
      </c>
      <c r="N28" s="442">
        <f t="shared" si="1"/>
        <v>139295000</v>
      </c>
      <c r="O28" s="176">
        <f>O29+O30+O31+O32</f>
        <v>37955000</v>
      </c>
      <c r="P28" s="176">
        <f>P29+P30+P31+P32</f>
        <v>32455000</v>
      </c>
      <c r="Q28" s="176">
        <f>Q29+Q30+Q31+Q32</f>
        <v>34692500</v>
      </c>
      <c r="R28" s="442">
        <f>SUM(R29:R32)</f>
        <v>275494300</v>
      </c>
      <c r="S28" s="442">
        <f>SUM(S29:S32)</f>
        <v>380596800</v>
      </c>
      <c r="T28" s="442">
        <f>S28-N28</f>
        <v>241301800</v>
      </c>
      <c r="U28" s="181">
        <f t="shared" si="2"/>
        <v>173.23076923076923</v>
      </c>
      <c r="V28" s="434"/>
      <c r="W28" s="78"/>
    </row>
    <row r="29" spans="1:23" ht="23.25" customHeight="1">
      <c r="A29" s="180"/>
      <c r="B29" s="173" t="s">
        <v>94</v>
      </c>
      <c r="C29" s="1056" t="s">
        <v>95</v>
      </c>
      <c r="D29" s="1056"/>
      <c r="E29" s="1056"/>
      <c r="F29" s="1056"/>
      <c r="G29" s="171" t="s">
        <v>67</v>
      </c>
      <c r="H29" s="174">
        <v>1</v>
      </c>
      <c r="I29" s="175" t="s">
        <v>68</v>
      </c>
      <c r="J29" s="178">
        <v>19955000</v>
      </c>
      <c r="K29" s="178">
        <v>19955000</v>
      </c>
      <c r="L29" s="178">
        <f>K29</f>
        <v>19955000</v>
      </c>
      <c r="M29" s="178">
        <f>L29</f>
        <v>19955000</v>
      </c>
      <c r="N29" s="445">
        <f t="shared" si="1"/>
        <v>79820000</v>
      </c>
      <c r="O29" s="178">
        <v>19955000</v>
      </c>
      <c r="P29" s="178">
        <v>19955000</v>
      </c>
      <c r="Q29" s="178">
        <f>P29</f>
        <v>19955000</v>
      </c>
      <c r="R29" s="445">
        <f>M29+229301800</f>
        <v>249256800</v>
      </c>
      <c r="S29" s="445">
        <f t="shared" si="3"/>
        <v>309121800</v>
      </c>
      <c r="T29" s="445">
        <f>S29-N29</f>
        <v>229301800</v>
      </c>
      <c r="U29" s="181">
        <f t="shared" si="2"/>
        <v>287.27361563517917</v>
      </c>
      <c r="V29" s="414"/>
      <c r="W29" s="78" t="s">
        <v>814</v>
      </c>
    </row>
    <row r="30" spans="1:23" ht="21.75" customHeight="1">
      <c r="A30" s="180"/>
      <c r="B30" s="173" t="s">
        <v>96</v>
      </c>
      <c r="C30" s="1061" t="s">
        <v>97</v>
      </c>
      <c r="D30" s="1061"/>
      <c r="E30" s="1061"/>
      <c r="F30" s="1061"/>
      <c r="G30" s="171" t="s">
        <v>67</v>
      </c>
      <c r="H30" s="174">
        <v>1</v>
      </c>
      <c r="I30" s="175" t="s">
        <v>68</v>
      </c>
      <c r="J30" s="178">
        <v>15000000</v>
      </c>
      <c r="K30" s="178">
        <v>10000000</v>
      </c>
      <c r="L30" s="178">
        <v>12475000</v>
      </c>
      <c r="M30" s="178">
        <v>12475000</v>
      </c>
      <c r="N30" s="445">
        <f t="shared" si="1"/>
        <v>49950000</v>
      </c>
      <c r="O30" s="178">
        <v>15000000</v>
      </c>
      <c r="P30" s="178">
        <v>10000000</v>
      </c>
      <c r="Q30" s="178">
        <v>12475000</v>
      </c>
      <c r="R30" s="445">
        <f>M30+12000000</f>
        <v>24475000</v>
      </c>
      <c r="S30" s="445">
        <f t="shared" si="3"/>
        <v>61950000</v>
      </c>
      <c r="T30" s="445">
        <f t="shared" si="4"/>
        <v>12000000</v>
      </c>
      <c r="U30" s="181">
        <f t="shared" si="2"/>
        <v>24.024024024024023</v>
      </c>
      <c r="V30" s="414"/>
      <c r="W30" s="78" t="s">
        <v>814</v>
      </c>
    </row>
    <row r="31" spans="1:23" ht="23.25" customHeight="1">
      <c r="A31" s="180"/>
      <c r="B31" s="173" t="s">
        <v>98</v>
      </c>
      <c r="C31" s="1056" t="s">
        <v>99</v>
      </c>
      <c r="D31" s="1056"/>
      <c r="E31" s="1056"/>
      <c r="F31" s="1056"/>
      <c r="G31" s="171" t="s">
        <v>67</v>
      </c>
      <c r="H31" s="174">
        <v>1</v>
      </c>
      <c r="I31" s="175" t="s">
        <v>68</v>
      </c>
      <c r="J31" s="178">
        <v>2000000</v>
      </c>
      <c r="K31" s="178">
        <v>1500000</v>
      </c>
      <c r="L31" s="178">
        <v>1762500</v>
      </c>
      <c r="M31" s="178">
        <v>1762500</v>
      </c>
      <c r="N31" s="445">
        <f t="shared" si="1"/>
        <v>7025000</v>
      </c>
      <c r="O31" s="178">
        <v>2000000</v>
      </c>
      <c r="P31" s="178">
        <v>1500000</v>
      </c>
      <c r="Q31" s="178">
        <v>1762500</v>
      </c>
      <c r="R31" s="445">
        <f>M31</f>
        <v>1762500</v>
      </c>
      <c r="S31" s="445">
        <f t="shared" si="3"/>
        <v>7025000</v>
      </c>
      <c r="T31" s="445">
        <f t="shared" si="4"/>
        <v>0</v>
      </c>
      <c r="U31" s="181">
        <f t="shared" si="2"/>
        <v>0</v>
      </c>
      <c r="V31" s="414"/>
      <c r="W31" s="78"/>
    </row>
    <row r="32" spans="1:23" ht="24.75" customHeight="1">
      <c r="A32" s="180"/>
      <c r="B32" s="173" t="s">
        <v>100</v>
      </c>
      <c r="C32" s="1056" t="s">
        <v>101</v>
      </c>
      <c r="D32" s="1056"/>
      <c r="E32" s="1056"/>
      <c r="F32" s="1056"/>
      <c r="G32" s="171" t="s">
        <v>67</v>
      </c>
      <c r="H32" s="174">
        <v>1</v>
      </c>
      <c r="I32" s="175" t="s">
        <v>68</v>
      </c>
      <c r="J32" s="178">
        <v>1000000</v>
      </c>
      <c r="K32" s="178">
        <v>1000000</v>
      </c>
      <c r="L32" s="178">
        <v>500000</v>
      </c>
      <c r="M32" s="178">
        <v>0</v>
      </c>
      <c r="N32" s="445">
        <f t="shared" si="1"/>
        <v>2500000</v>
      </c>
      <c r="O32" s="178">
        <v>1000000</v>
      </c>
      <c r="P32" s="178">
        <v>1000000</v>
      </c>
      <c r="Q32" s="178">
        <v>500000</v>
      </c>
      <c r="R32" s="445">
        <f>M32</f>
        <v>0</v>
      </c>
      <c r="S32" s="445">
        <f t="shared" si="3"/>
        <v>2500000</v>
      </c>
      <c r="T32" s="445">
        <f t="shared" si="4"/>
        <v>0</v>
      </c>
      <c r="U32" s="181">
        <f t="shared" si="2"/>
        <v>0</v>
      </c>
      <c r="V32" s="414"/>
      <c r="W32" s="78"/>
    </row>
    <row r="33" spans="1:23" ht="24.75" customHeight="1">
      <c r="A33" s="408" t="s">
        <v>842</v>
      </c>
      <c r="B33" s="342"/>
      <c r="C33" s="1071" t="s">
        <v>102</v>
      </c>
      <c r="D33" s="1072"/>
      <c r="E33" s="1072"/>
      <c r="F33" s="1073"/>
      <c r="G33" s="171"/>
      <c r="H33" s="174"/>
      <c r="I33" s="175"/>
      <c r="J33" s="368">
        <f>SUM(J34:J40)</f>
        <v>260000000</v>
      </c>
      <c r="K33" s="368">
        <f>SUM(K34:K41)</f>
        <v>995000000</v>
      </c>
      <c r="L33" s="368">
        <f>SUM(L34:L40)</f>
        <v>1170000000</v>
      </c>
      <c r="M33" s="368">
        <f>SUM(M34:M40)</f>
        <v>125000000</v>
      </c>
      <c r="N33" s="446">
        <f t="shared" si="1"/>
        <v>2550000000</v>
      </c>
      <c r="O33" s="368">
        <f>SUM(O34:O40)</f>
        <v>260000000</v>
      </c>
      <c r="P33" s="368">
        <f>SUM(P34:P40)</f>
        <v>995000000</v>
      </c>
      <c r="Q33" s="368">
        <f>SUM(Q34:Q40)</f>
        <v>1170000000</v>
      </c>
      <c r="R33" s="454">
        <f>SUM(R34:R41)+R42+R43</f>
        <v>430000000</v>
      </c>
      <c r="S33" s="446">
        <f>S34+S35+S36+S37+S38+S39+S41+S42+S43</f>
        <v>2855000000</v>
      </c>
      <c r="T33" s="442">
        <f>S33-N33</f>
        <v>305000000</v>
      </c>
      <c r="U33" s="181">
        <f t="shared" si="2"/>
        <v>11.96078431372549</v>
      </c>
      <c r="V33" s="436"/>
      <c r="W33" s="78">
        <f>O33+P33+Q33</f>
        <v>2425000000</v>
      </c>
    </row>
    <row r="34" spans="1:23" ht="24.75" customHeight="1">
      <c r="A34" s="221"/>
      <c r="B34" s="342" t="s">
        <v>755</v>
      </c>
      <c r="C34" s="1065" t="s">
        <v>515</v>
      </c>
      <c r="D34" s="1066"/>
      <c r="E34" s="1066"/>
      <c r="F34" s="1067"/>
      <c r="G34" s="171" t="s">
        <v>67</v>
      </c>
      <c r="H34" s="174">
        <v>1</v>
      </c>
      <c r="I34" s="175" t="s">
        <v>68</v>
      </c>
      <c r="J34" s="343">
        <v>125000000</v>
      </c>
      <c r="K34" s="343">
        <v>25000000</v>
      </c>
      <c r="L34" s="343">
        <v>0</v>
      </c>
      <c r="M34" s="343">
        <v>0</v>
      </c>
      <c r="N34" s="447">
        <f t="shared" si="1"/>
        <v>150000000</v>
      </c>
      <c r="O34" s="343">
        <v>125000000</v>
      </c>
      <c r="P34" s="343">
        <v>25000000</v>
      </c>
      <c r="Q34" s="343">
        <v>0</v>
      </c>
      <c r="R34" s="455">
        <f>M34</f>
        <v>0</v>
      </c>
      <c r="S34" s="447">
        <f t="shared" si="3"/>
        <v>150000000</v>
      </c>
      <c r="T34" s="445">
        <f t="shared" si="4"/>
        <v>0</v>
      </c>
      <c r="U34" s="181">
        <f t="shared" si="2"/>
        <v>0</v>
      </c>
      <c r="V34" s="414"/>
      <c r="W34" s="78">
        <f>4695000000-W33</f>
        <v>2270000000</v>
      </c>
    </row>
    <row r="35" spans="1:23" ht="24.75" customHeight="1">
      <c r="A35" s="221"/>
      <c r="B35" s="342" t="s">
        <v>756</v>
      </c>
      <c r="C35" s="1074" t="s">
        <v>758</v>
      </c>
      <c r="D35" s="1075"/>
      <c r="E35" s="1075"/>
      <c r="F35" s="1076"/>
      <c r="G35" s="171" t="s">
        <v>67</v>
      </c>
      <c r="H35" s="174">
        <v>1</v>
      </c>
      <c r="I35" s="175" t="s">
        <v>68</v>
      </c>
      <c r="J35" s="343">
        <v>50000000</v>
      </c>
      <c r="K35" s="343">
        <v>50000000</v>
      </c>
      <c r="L35" s="343">
        <v>0</v>
      </c>
      <c r="M35" s="343">
        <v>0</v>
      </c>
      <c r="N35" s="447">
        <f t="shared" si="1"/>
        <v>100000000</v>
      </c>
      <c r="O35" s="343">
        <v>50000000</v>
      </c>
      <c r="P35" s="343">
        <v>50000000</v>
      </c>
      <c r="Q35" s="343">
        <v>0</v>
      </c>
      <c r="R35" s="455">
        <f>M35+50000000</f>
        <v>50000000</v>
      </c>
      <c r="S35" s="447">
        <f t="shared" si="3"/>
        <v>150000000</v>
      </c>
      <c r="T35" s="445">
        <f>S35-N35</f>
        <v>50000000</v>
      </c>
      <c r="U35" s="181">
        <f t="shared" si="2"/>
        <v>50</v>
      </c>
      <c r="V35" s="414"/>
      <c r="W35" s="78"/>
    </row>
    <row r="36" spans="1:23" ht="24.75" customHeight="1">
      <c r="A36" s="221"/>
      <c r="B36" s="342" t="s">
        <v>757</v>
      </c>
      <c r="C36" s="1065" t="s">
        <v>655</v>
      </c>
      <c r="D36" s="1066"/>
      <c r="E36" s="1066"/>
      <c r="F36" s="1067"/>
      <c r="G36" s="171" t="s">
        <v>67</v>
      </c>
      <c r="H36" s="174">
        <v>1</v>
      </c>
      <c r="I36" s="175" t="s">
        <v>68</v>
      </c>
      <c r="J36" s="343">
        <v>40000000</v>
      </c>
      <c r="K36" s="343">
        <v>55000000</v>
      </c>
      <c r="L36" s="343">
        <v>5000000</v>
      </c>
      <c r="M36" s="343">
        <v>0</v>
      </c>
      <c r="N36" s="447">
        <f t="shared" si="1"/>
        <v>100000000</v>
      </c>
      <c r="O36" s="343">
        <v>40000000</v>
      </c>
      <c r="P36" s="343">
        <v>55000000</v>
      </c>
      <c r="Q36" s="343">
        <v>5000000</v>
      </c>
      <c r="R36" s="465">
        <f>M36</f>
        <v>0</v>
      </c>
      <c r="S36" s="447">
        <f t="shared" si="3"/>
        <v>100000000</v>
      </c>
      <c r="T36" s="445">
        <f t="shared" si="4"/>
        <v>0</v>
      </c>
      <c r="U36" s="181">
        <f t="shared" si="2"/>
        <v>0</v>
      </c>
      <c r="V36" s="414"/>
      <c r="W36" s="78"/>
    </row>
    <row r="37" spans="1:23" ht="24.75" customHeight="1">
      <c r="A37" s="221"/>
      <c r="B37" s="342" t="s">
        <v>760</v>
      </c>
      <c r="C37" s="1065" t="s">
        <v>759</v>
      </c>
      <c r="D37" s="1066"/>
      <c r="E37" s="1066"/>
      <c r="F37" s="1067"/>
      <c r="G37" s="171" t="s">
        <v>67</v>
      </c>
      <c r="H37" s="174">
        <v>1</v>
      </c>
      <c r="I37" s="175" t="s">
        <v>68</v>
      </c>
      <c r="J37" s="343">
        <v>25000000</v>
      </c>
      <c r="K37" s="343">
        <v>25000000</v>
      </c>
      <c r="L37" s="343">
        <v>25000000</v>
      </c>
      <c r="M37" s="343">
        <v>25000000</v>
      </c>
      <c r="N37" s="447">
        <f t="shared" si="1"/>
        <v>100000000</v>
      </c>
      <c r="O37" s="343">
        <v>25000000</v>
      </c>
      <c r="P37" s="343">
        <v>25000000</v>
      </c>
      <c r="Q37" s="343">
        <v>25000000</v>
      </c>
      <c r="R37" s="455">
        <f>M37</f>
        <v>25000000</v>
      </c>
      <c r="S37" s="447">
        <f t="shared" si="3"/>
        <v>100000000</v>
      </c>
      <c r="T37" s="445">
        <f t="shared" si="4"/>
        <v>0</v>
      </c>
      <c r="U37" s="181">
        <f t="shared" si="2"/>
        <v>0</v>
      </c>
      <c r="V37" s="414"/>
      <c r="W37" s="78"/>
    </row>
    <row r="38" spans="1:23" ht="24.75" customHeight="1">
      <c r="A38" s="221"/>
      <c r="B38" s="342" t="s">
        <v>761</v>
      </c>
      <c r="C38" s="1065" t="s">
        <v>763</v>
      </c>
      <c r="D38" s="1066"/>
      <c r="E38" s="1066"/>
      <c r="F38" s="1067"/>
      <c r="G38" s="171" t="s">
        <v>67</v>
      </c>
      <c r="H38" s="174">
        <v>1</v>
      </c>
      <c r="I38" s="175" t="s">
        <v>68</v>
      </c>
      <c r="J38" s="343">
        <v>20000000</v>
      </c>
      <c r="K38" s="343">
        <v>40000000</v>
      </c>
      <c r="L38" s="343">
        <f>K38</f>
        <v>40000000</v>
      </c>
      <c r="M38" s="343">
        <v>0</v>
      </c>
      <c r="N38" s="447">
        <f t="shared" si="1"/>
        <v>100000000</v>
      </c>
      <c r="O38" s="343">
        <v>20000000</v>
      </c>
      <c r="P38" s="343">
        <v>40000000</v>
      </c>
      <c r="Q38" s="343">
        <f>P38</f>
        <v>40000000</v>
      </c>
      <c r="R38" s="465">
        <f>M38</f>
        <v>0</v>
      </c>
      <c r="S38" s="447">
        <f t="shared" si="3"/>
        <v>100000000</v>
      </c>
      <c r="T38" s="445">
        <f t="shared" si="4"/>
        <v>0</v>
      </c>
      <c r="U38" s="181">
        <f t="shared" si="2"/>
        <v>0</v>
      </c>
      <c r="V38" s="414"/>
      <c r="W38" s="78">
        <f>7916544300+4355194168</f>
        <v>12271738468</v>
      </c>
    </row>
    <row r="39" spans="1:23" ht="24.75" customHeight="1">
      <c r="A39" s="221"/>
      <c r="B39" s="342" t="s">
        <v>762</v>
      </c>
      <c r="C39" s="1065" t="s">
        <v>764</v>
      </c>
      <c r="D39" s="1066"/>
      <c r="E39" s="1066"/>
      <c r="F39" s="1067"/>
      <c r="G39" s="171" t="s">
        <v>67</v>
      </c>
      <c r="H39" s="174">
        <v>1</v>
      </c>
      <c r="I39" s="175" t="s">
        <v>68</v>
      </c>
      <c r="J39" s="343">
        <v>0</v>
      </c>
      <c r="K39" s="343">
        <v>800000000</v>
      </c>
      <c r="L39" s="343">
        <v>1100000000</v>
      </c>
      <c r="M39" s="343">
        <v>100000000</v>
      </c>
      <c r="N39" s="447">
        <f t="shared" si="1"/>
        <v>2000000000</v>
      </c>
      <c r="O39" s="343">
        <v>0</v>
      </c>
      <c r="P39" s="343">
        <v>800000000</v>
      </c>
      <c r="Q39" s="343">
        <v>1100000000</v>
      </c>
      <c r="R39" s="455">
        <f>M39</f>
        <v>100000000</v>
      </c>
      <c r="S39" s="447">
        <f t="shared" si="3"/>
        <v>2000000000</v>
      </c>
      <c r="T39" s="445">
        <f t="shared" si="4"/>
        <v>0</v>
      </c>
      <c r="U39" s="181">
        <f t="shared" si="2"/>
        <v>0</v>
      </c>
      <c r="V39" s="414"/>
      <c r="W39" s="78"/>
    </row>
    <row r="40" spans="1:23" ht="24.75" customHeight="1">
      <c r="A40" s="221"/>
      <c r="B40" s="342" t="s">
        <v>765</v>
      </c>
      <c r="C40" s="1065" t="s">
        <v>766</v>
      </c>
      <c r="D40" s="1066"/>
      <c r="E40" s="1066"/>
      <c r="F40" s="1067"/>
      <c r="G40" s="171" t="s">
        <v>67</v>
      </c>
      <c r="H40" s="174">
        <v>1</v>
      </c>
      <c r="I40" s="175" t="s">
        <v>68</v>
      </c>
      <c r="J40" s="343">
        <v>0</v>
      </c>
      <c r="K40" s="343">
        <v>0</v>
      </c>
      <c r="L40" s="343">
        <v>0</v>
      </c>
      <c r="M40" s="343">
        <v>0</v>
      </c>
      <c r="N40" s="447">
        <f>J40+K40+L40+M40</f>
        <v>0</v>
      </c>
      <c r="O40" s="343">
        <v>0</v>
      </c>
      <c r="P40" s="343">
        <v>0</v>
      </c>
      <c r="Q40" s="343">
        <v>0</v>
      </c>
      <c r="R40" s="455">
        <v>0</v>
      </c>
      <c r="S40" s="445"/>
      <c r="T40" s="455">
        <f>S40-N40</f>
        <v>0</v>
      </c>
      <c r="U40" s="181"/>
      <c r="V40" s="414"/>
      <c r="W40" s="78"/>
    </row>
    <row r="41" spans="1:23" ht="28.5" customHeight="1">
      <c r="A41" s="171"/>
      <c r="B41" s="173" t="s">
        <v>853</v>
      </c>
      <c r="C41" s="1287" t="s">
        <v>857</v>
      </c>
      <c r="D41" s="1288"/>
      <c r="E41" s="1288"/>
      <c r="F41" s="1289"/>
      <c r="G41" s="463" t="s">
        <v>67</v>
      </c>
      <c r="H41" s="464">
        <v>1</v>
      </c>
      <c r="I41" s="461" t="s">
        <v>68</v>
      </c>
      <c r="J41" s="462">
        <v>0</v>
      </c>
      <c r="K41" s="462">
        <v>0</v>
      </c>
      <c r="L41" s="460">
        <v>0</v>
      </c>
      <c r="M41" s="462">
        <v>0</v>
      </c>
      <c r="N41" s="462">
        <v>0</v>
      </c>
      <c r="O41" s="462">
        <v>0</v>
      </c>
      <c r="P41" s="459">
        <v>0</v>
      </c>
      <c r="Q41" s="462">
        <v>0</v>
      </c>
      <c r="R41" s="483">
        <v>150000000</v>
      </c>
      <c r="S41" s="483">
        <f>O41+P41+Q41+R41</f>
        <v>150000000</v>
      </c>
      <c r="T41" s="483">
        <f>S41-N41</f>
        <v>150000000</v>
      </c>
      <c r="U41" s="181">
        <v>100</v>
      </c>
      <c r="V41" s="414"/>
      <c r="W41" s="78"/>
    </row>
    <row r="42" spans="1:23" ht="24.75" customHeight="1">
      <c r="A42" s="167"/>
      <c r="B42" s="342" t="s">
        <v>855</v>
      </c>
      <c r="C42" s="1065" t="s">
        <v>858</v>
      </c>
      <c r="D42" s="1066"/>
      <c r="E42" s="1066"/>
      <c r="F42" s="1067"/>
      <c r="G42" s="463" t="s">
        <v>67</v>
      </c>
      <c r="H42" s="464">
        <v>1</v>
      </c>
      <c r="I42" s="461" t="s">
        <v>68</v>
      </c>
      <c r="J42" s="343">
        <v>0</v>
      </c>
      <c r="K42" s="343">
        <v>0</v>
      </c>
      <c r="L42" s="343">
        <v>0</v>
      </c>
      <c r="M42" s="343">
        <v>0</v>
      </c>
      <c r="N42" s="447">
        <v>0</v>
      </c>
      <c r="O42" s="455">
        <v>0</v>
      </c>
      <c r="P42" s="455">
        <v>0</v>
      </c>
      <c r="Q42" s="455">
        <v>0</v>
      </c>
      <c r="R42" s="455">
        <v>75000000</v>
      </c>
      <c r="S42" s="483">
        <f>O42+P42+Q42+R42</f>
        <v>75000000</v>
      </c>
      <c r="T42" s="483">
        <f t="shared" ref="T42:T52" si="6">S42-N42</f>
        <v>75000000</v>
      </c>
      <c r="U42" s="344">
        <v>100</v>
      </c>
      <c r="V42" s="414"/>
      <c r="W42" s="78"/>
    </row>
    <row r="43" spans="1:23" ht="24.75" customHeight="1">
      <c r="A43" s="167"/>
      <c r="B43" s="342" t="s">
        <v>859</v>
      </c>
      <c r="C43" s="1065" t="s">
        <v>860</v>
      </c>
      <c r="D43" s="1066"/>
      <c r="E43" s="1066"/>
      <c r="F43" s="1067"/>
      <c r="G43" s="463" t="s">
        <v>67</v>
      </c>
      <c r="H43" s="464">
        <v>1</v>
      </c>
      <c r="I43" s="461" t="s">
        <v>68</v>
      </c>
      <c r="J43" s="343">
        <v>0</v>
      </c>
      <c r="K43" s="343">
        <v>0</v>
      </c>
      <c r="L43" s="343">
        <v>0</v>
      </c>
      <c r="M43" s="343">
        <v>0</v>
      </c>
      <c r="N43" s="447">
        <v>0</v>
      </c>
      <c r="O43" s="455">
        <v>0</v>
      </c>
      <c r="P43" s="455">
        <v>0</v>
      </c>
      <c r="Q43" s="455">
        <v>0</v>
      </c>
      <c r="R43" s="455">
        <v>30000000</v>
      </c>
      <c r="S43" s="483">
        <f>O43+P43+Q43+R43</f>
        <v>30000000</v>
      </c>
      <c r="T43" s="483">
        <f t="shared" si="6"/>
        <v>30000000</v>
      </c>
      <c r="U43" s="344">
        <v>100</v>
      </c>
      <c r="V43" s="414"/>
      <c r="W43" s="78"/>
    </row>
    <row r="44" spans="1:23" ht="22.5" customHeight="1">
      <c r="A44" s="228" t="s">
        <v>841</v>
      </c>
      <c r="B44" s="342"/>
      <c r="C44" s="1071" t="s">
        <v>658</v>
      </c>
      <c r="D44" s="1072"/>
      <c r="E44" s="1072"/>
      <c r="F44" s="1073"/>
      <c r="G44" s="365"/>
      <c r="H44" s="366"/>
      <c r="I44" s="367"/>
      <c r="J44" s="368">
        <f>SUM(J45:J51)</f>
        <v>100000000</v>
      </c>
      <c r="K44" s="368">
        <f>SUM(K45:K51)</f>
        <v>600000000</v>
      </c>
      <c r="L44" s="368">
        <f>SUM(L45:L51)</f>
        <v>25000000</v>
      </c>
      <c r="M44" s="368">
        <f>SUM(M45:M51)</f>
        <v>0</v>
      </c>
      <c r="N44" s="446">
        <f t="shared" si="1"/>
        <v>725000000</v>
      </c>
      <c r="O44" s="368">
        <f>SUM(O45:O51)</f>
        <v>100000000</v>
      </c>
      <c r="P44" s="368">
        <f>SUM(P45:P51)</f>
        <v>600000000</v>
      </c>
      <c r="Q44" s="368">
        <f>SUM(Q45:Q51)</f>
        <v>25000000</v>
      </c>
      <c r="R44" s="454">
        <f>SUM(R45:R55)</f>
        <v>790000000</v>
      </c>
      <c r="S44" s="454">
        <f>S45+S47+S48+S49+S50+S51+S52+S53+S54+S55+S56</f>
        <v>1552432500</v>
      </c>
      <c r="T44" s="484">
        <f>SUM(T45:T56)</f>
        <v>827432500</v>
      </c>
      <c r="U44" s="369"/>
      <c r="V44" s="437"/>
      <c r="W44" s="78"/>
    </row>
    <row r="45" spans="1:23" ht="21.75" customHeight="1">
      <c r="A45" s="221"/>
      <c r="B45" s="342" t="s">
        <v>659</v>
      </c>
      <c r="C45" s="1065" t="s">
        <v>660</v>
      </c>
      <c r="D45" s="1066"/>
      <c r="E45" s="1066"/>
      <c r="F45" s="1067"/>
      <c r="G45" s="171" t="s">
        <v>67</v>
      </c>
      <c r="H45" s="174">
        <v>1</v>
      </c>
      <c r="I45" s="175" t="s">
        <v>68</v>
      </c>
      <c r="J45" s="343">
        <v>0</v>
      </c>
      <c r="K45" s="343">
        <v>50000000</v>
      </c>
      <c r="L45" s="343">
        <v>0</v>
      </c>
      <c r="M45" s="343">
        <v>0</v>
      </c>
      <c r="N45" s="447">
        <f t="shared" si="1"/>
        <v>50000000</v>
      </c>
      <c r="O45" s="343">
        <v>0</v>
      </c>
      <c r="P45" s="343">
        <v>50000000</v>
      </c>
      <c r="Q45" s="343">
        <v>0</v>
      </c>
      <c r="R45" s="455">
        <f>M45</f>
        <v>0</v>
      </c>
      <c r="S45" s="455">
        <f>O45+P45+Q45+R45</f>
        <v>50000000</v>
      </c>
      <c r="T45" s="462">
        <f t="shared" si="6"/>
        <v>0</v>
      </c>
      <c r="U45" s="344"/>
      <c r="V45" s="414"/>
      <c r="W45" s="78"/>
    </row>
    <row r="46" spans="1:23" ht="21.75" customHeight="1">
      <c r="A46" s="1310" t="s">
        <v>909</v>
      </c>
      <c r="B46" s="1311"/>
      <c r="C46" s="1311"/>
      <c r="D46" s="1311"/>
      <c r="E46" s="1311"/>
      <c r="F46" s="1311"/>
      <c r="G46" s="1311"/>
      <c r="H46" s="1311"/>
      <c r="I46" s="1311"/>
      <c r="J46" s="1311"/>
      <c r="K46" s="1312"/>
      <c r="L46" s="1313" t="s">
        <v>910</v>
      </c>
      <c r="M46" s="1314"/>
      <c r="N46" s="1314"/>
      <c r="O46" s="1315"/>
      <c r="P46" s="1313" t="s">
        <v>911</v>
      </c>
      <c r="Q46" s="1314"/>
      <c r="R46" s="1314"/>
      <c r="S46" s="1314"/>
      <c r="T46" s="1314"/>
      <c r="U46" s="1315"/>
      <c r="V46" s="414"/>
      <c r="W46" s="78"/>
    </row>
    <row r="47" spans="1:23" ht="27.75" customHeight="1">
      <c r="A47" s="221"/>
      <c r="B47" s="342" t="s">
        <v>653</v>
      </c>
      <c r="C47" s="1065" t="s">
        <v>661</v>
      </c>
      <c r="D47" s="1066"/>
      <c r="E47" s="1066"/>
      <c r="F47" s="1067"/>
      <c r="G47" s="171" t="s">
        <v>67</v>
      </c>
      <c r="H47" s="174">
        <v>1</v>
      </c>
      <c r="I47" s="175" t="s">
        <v>68</v>
      </c>
      <c r="J47" s="343">
        <v>0</v>
      </c>
      <c r="K47" s="343">
        <v>200000000</v>
      </c>
      <c r="L47" s="343">
        <v>0</v>
      </c>
      <c r="M47" s="343">
        <v>0</v>
      </c>
      <c r="N47" s="447">
        <f t="shared" si="1"/>
        <v>200000000</v>
      </c>
      <c r="O47" s="343">
        <v>0</v>
      </c>
      <c r="P47" s="343">
        <v>200000000</v>
      </c>
      <c r="Q47" s="343">
        <v>0</v>
      </c>
      <c r="R47" s="455">
        <f>M47</f>
        <v>0</v>
      </c>
      <c r="S47" s="455">
        <f t="shared" ref="S47:S89" si="7">O47+P47+Q47+R47</f>
        <v>200000000</v>
      </c>
      <c r="T47" s="462">
        <f t="shared" si="6"/>
        <v>0</v>
      </c>
      <c r="U47" s="344"/>
      <c r="V47" s="414"/>
      <c r="W47" s="78"/>
    </row>
    <row r="48" spans="1:23" ht="24" customHeight="1">
      <c r="A48" s="221"/>
      <c r="B48" s="342" t="s">
        <v>514</v>
      </c>
      <c r="C48" s="1065" t="s">
        <v>662</v>
      </c>
      <c r="D48" s="1066"/>
      <c r="E48" s="1066"/>
      <c r="F48" s="1067"/>
      <c r="G48" s="171" t="s">
        <v>67</v>
      </c>
      <c r="H48" s="174">
        <v>1</v>
      </c>
      <c r="I48" s="175" t="s">
        <v>68</v>
      </c>
      <c r="J48" s="343">
        <v>0</v>
      </c>
      <c r="K48" s="343">
        <v>0</v>
      </c>
      <c r="L48" s="343">
        <v>25000000</v>
      </c>
      <c r="M48" s="343">
        <v>0</v>
      </c>
      <c r="N48" s="447">
        <f t="shared" si="1"/>
        <v>25000000</v>
      </c>
      <c r="O48" s="343">
        <v>0</v>
      </c>
      <c r="P48" s="343">
        <v>0</v>
      </c>
      <c r="Q48" s="343">
        <v>25000000</v>
      </c>
      <c r="R48" s="455">
        <f>M48</f>
        <v>0</v>
      </c>
      <c r="S48" s="455">
        <f t="shared" si="7"/>
        <v>25000000</v>
      </c>
      <c r="T48" s="462">
        <f t="shared" si="6"/>
        <v>0</v>
      </c>
      <c r="U48" s="344"/>
      <c r="V48" s="414"/>
      <c r="W48" s="78"/>
    </row>
    <row r="49" spans="1:23" ht="22.5" customHeight="1">
      <c r="A49" s="221"/>
      <c r="B49" s="342" t="s">
        <v>654</v>
      </c>
      <c r="C49" s="1065" t="s">
        <v>663</v>
      </c>
      <c r="D49" s="1066"/>
      <c r="E49" s="1066"/>
      <c r="F49" s="1067"/>
      <c r="G49" s="171" t="s">
        <v>67</v>
      </c>
      <c r="H49" s="174">
        <v>1</v>
      </c>
      <c r="I49" s="175" t="s">
        <v>68</v>
      </c>
      <c r="J49" s="343">
        <v>100000000</v>
      </c>
      <c r="K49" s="343">
        <v>0</v>
      </c>
      <c r="L49" s="343">
        <v>0</v>
      </c>
      <c r="M49" s="343">
        <v>0</v>
      </c>
      <c r="N49" s="447">
        <f t="shared" si="1"/>
        <v>100000000</v>
      </c>
      <c r="O49" s="343">
        <v>100000000</v>
      </c>
      <c r="P49" s="343">
        <v>0</v>
      </c>
      <c r="Q49" s="343">
        <v>0</v>
      </c>
      <c r="R49" s="455">
        <f>M49</f>
        <v>0</v>
      </c>
      <c r="S49" s="455">
        <f t="shared" si="7"/>
        <v>100000000</v>
      </c>
      <c r="T49" s="462">
        <f t="shared" si="6"/>
        <v>0</v>
      </c>
      <c r="U49" s="344"/>
      <c r="V49" s="414"/>
      <c r="W49" s="78"/>
    </row>
    <row r="50" spans="1:23" ht="22.5" customHeight="1">
      <c r="A50" s="221"/>
      <c r="B50" s="342" t="s">
        <v>656</v>
      </c>
      <c r="C50" s="1065" t="s">
        <v>664</v>
      </c>
      <c r="D50" s="1066"/>
      <c r="E50" s="1066"/>
      <c r="F50" s="1067"/>
      <c r="G50" s="171" t="s">
        <v>67</v>
      </c>
      <c r="H50" s="174">
        <v>1</v>
      </c>
      <c r="I50" s="175" t="s">
        <v>68</v>
      </c>
      <c r="J50" s="343">
        <v>0</v>
      </c>
      <c r="K50" s="343">
        <v>150000000</v>
      </c>
      <c r="L50" s="343">
        <v>0</v>
      </c>
      <c r="M50" s="343">
        <v>0</v>
      </c>
      <c r="N50" s="447">
        <f t="shared" si="1"/>
        <v>150000000</v>
      </c>
      <c r="O50" s="343">
        <v>0</v>
      </c>
      <c r="P50" s="343">
        <v>150000000</v>
      </c>
      <c r="Q50" s="343">
        <v>0</v>
      </c>
      <c r="R50" s="455">
        <v>0</v>
      </c>
      <c r="S50" s="455">
        <f t="shared" si="7"/>
        <v>150000000</v>
      </c>
      <c r="T50" s="462">
        <f t="shared" si="6"/>
        <v>0</v>
      </c>
      <c r="U50" s="344">
        <f>T50/N50*100</f>
        <v>0</v>
      </c>
      <c r="V50" s="414"/>
      <c r="W50" s="78"/>
    </row>
    <row r="51" spans="1:23" ht="37.5" customHeight="1">
      <c r="A51" s="180"/>
      <c r="B51" s="173" t="s">
        <v>657</v>
      </c>
      <c r="C51" s="1065" t="s">
        <v>665</v>
      </c>
      <c r="D51" s="1066"/>
      <c r="E51" s="1066"/>
      <c r="F51" s="1067"/>
      <c r="G51" s="171" t="s">
        <v>67</v>
      </c>
      <c r="H51" s="174">
        <v>1</v>
      </c>
      <c r="I51" s="175" t="s">
        <v>68</v>
      </c>
      <c r="J51" s="178">
        <v>0</v>
      </c>
      <c r="K51" s="178">
        <v>200000000</v>
      </c>
      <c r="L51" s="178">
        <v>0</v>
      </c>
      <c r="M51" s="178">
        <v>0</v>
      </c>
      <c r="N51" s="447">
        <f t="shared" si="1"/>
        <v>200000000</v>
      </c>
      <c r="O51" s="178">
        <v>0</v>
      </c>
      <c r="P51" s="178">
        <v>200000000</v>
      </c>
      <c r="Q51" s="178">
        <v>0</v>
      </c>
      <c r="R51" s="447">
        <f>M51</f>
        <v>0</v>
      </c>
      <c r="S51" s="455">
        <f>N51</f>
        <v>200000000</v>
      </c>
      <c r="T51" s="462">
        <f t="shared" si="6"/>
        <v>0</v>
      </c>
      <c r="U51" s="344">
        <f>T51/N51*100</f>
        <v>0</v>
      </c>
      <c r="V51" s="414"/>
      <c r="W51" s="78"/>
    </row>
    <row r="52" spans="1:23" ht="37.5" customHeight="1">
      <c r="A52" s="221"/>
      <c r="B52" s="457">
        <v>15.19</v>
      </c>
      <c r="C52" s="1287" t="s">
        <v>852</v>
      </c>
      <c r="D52" s="1288"/>
      <c r="E52" s="1288"/>
      <c r="F52" s="1289"/>
      <c r="G52" s="171" t="s">
        <v>67</v>
      </c>
      <c r="H52" s="174">
        <v>1</v>
      </c>
      <c r="I52" s="175" t="s">
        <v>68</v>
      </c>
      <c r="J52" s="343">
        <v>0</v>
      </c>
      <c r="K52" s="343">
        <v>0</v>
      </c>
      <c r="L52" s="343">
        <v>0</v>
      </c>
      <c r="M52" s="343">
        <v>0</v>
      </c>
      <c r="N52" s="455">
        <v>0</v>
      </c>
      <c r="O52" s="343">
        <v>0</v>
      </c>
      <c r="P52" s="343">
        <v>0</v>
      </c>
      <c r="Q52" s="343">
        <v>0</v>
      </c>
      <c r="R52" s="455">
        <v>75000000</v>
      </c>
      <c r="S52" s="455">
        <f t="shared" si="7"/>
        <v>75000000</v>
      </c>
      <c r="T52" s="483">
        <f t="shared" si="6"/>
        <v>75000000</v>
      </c>
      <c r="U52" s="344"/>
      <c r="V52" s="414"/>
      <c r="W52" s="78"/>
    </row>
    <row r="53" spans="1:23" ht="37.5" customHeight="1">
      <c r="A53" s="221"/>
      <c r="B53" s="457" t="s">
        <v>853</v>
      </c>
      <c r="C53" s="1287" t="s">
        <v>854</v>
      </c>
      <c r="D53" s="1288"/>
      <c r="E53" s="1288"/>
      <c r="F53" s="1289"/>
      <c r="G53" s="171" t="s">
        <v>67</v>
      </c>
      <c r="H53" s="174">
        <v>1</v>
      </c>
      <c r="I53" s="175" t="s">
        <v>68</v>
      </c>
      <c r="J53" s="343">
        <v>0</v>
      </c>
      <c r="K53" s="343">
        <v>0</v>
      </c>
      <c r="L53" s="343">
        <v>0</v>
      </c>
      <c r="M53" s="343">
        <v>0</v>
      </c>
      <c r="N53" s="455">
        <v>0</v>
      </c>
      <c r="O53" s="343">
        <v>0</v>
      </c>
      <c r="P53" s="343">
        <v>0</v>
      </c>
      <c r="Q53" s="343">
        <v>0</v>
      </c>
      <c r="R53" s="455">
        <v>170000000</v>
      </c>
      <c r="S53" s="455">
        <f t="shared" si="7"/>
        <v>170000000</v>
      </c>
      <c r="T53" s="455">
        <f>S53-N53</f>
        <v>170000000</v>
      </c>
      <c r="U53" s="344"/>
      <c r="V53" s="414"/>
      <c r="W53" s="78"/>
    </row>
    <row r="54" spans="1:23" ht="37.5" customHeight="1">
      <c r="A54" s="221"/>
      <c r="B54" s="457" t="s">
        <v>855</v>
      </c>
      <c r="C54" s="1287" t="s">
        <v>856</v>
      </c>
      <c r="D54" s="1288"/>
      <c r="E54" s="1288"/>
      <c r="F54" s="1289"/>
      <c r="G54" s="171" t="s">
        <v>67</v>
      </c>
      <c r="H54" s="174">
        <v>1</v>
      </c>
      <c r="I54" s="175" t="s">
        <v>68</v>
      </c>
      <c r="J54" s="343">
        <v>0</v>
      </c>
      <c r="K54" s="343">
        <v>0</v>
      </c>
      <c r="L54" s="343">
        <v>0</v>
      </c>
      <c r="M54" s="343">
        <v>0</v>
      </c>
      <c r="N54" s="455">
        <v>0</v>
      </c>
      <c r="O54" s="343">
        <v>0</v>
      </c>
      <c r="P54" s="343">
        <v>0</v>
      </c>
      <c r="Q54" s="343">
        <v>0</v>
      </c>
      <c r="R54" s="455">
        <v>345000000</v>
      </c>
      <c r="S54" s="455">
        <f t="shared" si="7"/>
        <v>345000000</v>
      </c>
      <c r="T54" s="455">
        <f>S54-N54</f>
        <v>345000000</v>
      </c>
      <c r="U54" s="344"/>
      <c r="V54" s="414"/>
      <c r="W54" s="78"/>
    </row>
    <row r="55" spans="1:23" ht="27.75" customHeight="1">
      <c r="A55" s="221"/>
      <c r="B55" s="457" t="s">
        <v>859</v>
      </c>
      <c r="C55" s="1305" t="s">
        <v>867</v>
      </c>
      <c r="D55" s="1306"/>
      <c r="E55" s="1306"/>
      <c r="F55" s="478"/>
      <c r="G55" s="171" t="s">
        <v>67</v>
      </c>
      <c r="H55" s="174">
        <v>1</v>
      </c>
      <c r="I55" s="175" t="s">
        <v>68</v>
      </c>
      <c r="J55" s="343">
        <v>0</v>
      </c>
      <c r="K55" s="343">
        <v>0</v>
      </c>
      <c r="L55" s="343">
        <v>0</v>
      </c>
      <c r="M55" s="343">
        <v>0</v>
      </c>
      <c r="N55" s="455">
        <v>0</v>
      </c>
      <c r="O55" s="343">
        <v>0</v>
      </c>
      <c r="P55" s="343">
        <v>0</v>
      </c>
      <c r="Q55" s="343">
        <v>0</v>
      </c>
      <c r="R55" s="455">
        <v>200000000</v>
      </c>
      <c r="S55" s="455">
        <f t="shared" si="7"/>
        <v>200000000</v>
      </c>
      <c r="T55" s="455">
        <f>S55-N55</f>
        <v>200000000</v>
      </c>
      <c r="U55" s="344"/>
      <c r="V55" s="414"/>
      <c r="W55" s="78"/>
    </row>
    <row r="56" spans="1:23" ht="27.75" customHeight="1">
      <c r="A56" s="221"/>
      <c r="B56" s="457">
        <v>15.24</v>
      </c>
      <c r="C56" s="1287" t="s">
        <v>890</v>
      </c>
      <c r="D56" s="1288"/>
      <c r="E56" s="1288"/>
      <c r="F56" s="1289"/>
      <c r="G56" s="171" t="s">
        <v>67</v>
      </c>
      <c r="H56" s="174">
        <v>1</v>
      </c>
      <c r="I56" s="175" t="s">
        <v>68</v>
      </c>
      <c r="J56" s="343">
        <v>0</v>
      </c>
      <c r="K56" s="343">
        <v>0</v>
      </c>
      <c r="L56" s="343">
        <v>0</v>
      </c>
      <c r="M56" s="343">
        <v>0</v>
      </c>
      <c r="N56" s="455">
        <v>0</v>
      </c>
      <c r="O56" s="343">
        <v>0</v>
      </c>
      <c r="P56" s="343">
        <v>0</v>
      </c>
      <c r="Q56" s="343">
        <v>0</v>
      </c>
      <c r="R56" s="455">
        <v>37432500</v>
      </c>
      <c r="S56" s="455">
        <f t="shared" si="7"/>
        <v>37432500</v>
      </c>
      <c r="T56" s="455">
        <f>S56-N56</f>
        <v>37432500</v>
      </c>
      <c r="U56" s="344"/>
      <c r="V56" s="414"/>
      <c r="W56" s="78"/>
    </row>
    <row r="57" spans="1:23" ht="25.5" customHeight="1">
      <c r="A57" s="228" t="s">
        <v>103</v>
      </c>
      <c r="B57" s="450"/>
      <c r="C57" s="1307" t="s">
        <v>104</v>
      </c>
      <c r="D57" s="1308"/>
      <c r="E57" s="1308"/>
      <c r="F57" s="1309"/>
      <c r="G57" s="167" t="s">
        <v>67</v>
      </c>
      <c r="H57" s="451">
        <v>1</v>
      </c>
      <c r="I57" s="452" t="s">
        <v>68</v>
      </c>
      <c r="J57" s="453">
        <f>SUM(J58:J67)</f>
        <v>25000000</v>
      </c>
      <c r="K57" s="453">
        <f>SUM(K58:K67)</f>
        <v>505000000</v>
      </c>
      <c r="L57" s="453">
        <f>SUM(L58:L67)</f>
        <v>740000000</v>
      </c>
      <c r="M57" s="453">
        <f>SUM(M58:M67)</f>
        <v>5000000</v>
      </c>
      <c r="N57" s="453">
        <f>J57+K57+L57+M57</f>
        <v>1275000000</v>
      </c>
      <c r="O57" s="453">
        <f>SUM(O58:O67)</f>
        <v>75000000</v>
      </c>
      <c r="P57" s="453">
        <f>SUM(P58:P67)</f>
        <v>200000000</v>
      </c>
      <c r="Q57" s="453">
        <f>SUM(Q58:Q67)</f>
        <v>300000000</v>
      </c>
      <c r="R57" s="453">
        <f>SUM(R58:R78)</f>
        <v>1290000000</v>
      </c>
      <c r="S57" s="454">
        <f>SUM(S58:S78)</f>
        <v>1865000000</v>
      </c>
      <c r="T57" s="485">
        <f>SUM(T58:T78)</f>
        <v>590000000</v>
      </c>
      <c r="U57" s="458"/>
      <c r="V57" s="438"/>
      <c r="W57" s="78"/>
    </row>
    <row r="58" spans="1:23" ht="25.5" customHeight="1">
      <c r="A58" s="180"/>
      <c r="B58" s="179" t="s">
        <v>666</v>
      </c>
      <c r="C58" s="1065" t="s">
        <v>674</v>
      </c>
      <c r="D58" s="1066"/>
      <c r="E58" s="1066"/>
      <c r="F58" s="1067"/>
      <c r="G58" s="171" t="s">
        <v>67</v>
      </c>
      <c r="H58" s="174">
        <v>1</v>
      </c>
      <c r="I58" s="175" t="s">
        <v>68</v>
      </c>
      <c r="J58" s="370">
        <v>0</v>
      </c>
      <c r="K58" s="178">
        <v>50000000</v>
      </c>
      <c r="L58" s="178">
        <v>0</v>
      </c>
      <c r="M58" s="178">
        <v>0</v>
      </c>
      <c r="N58" s="449">
        <f t="shared" ref="N58:N67" si="8">J58+K58+L58+M58</f>
        <v>50000000</v>
      </c>
      <c r="O58" s="370">
        <v>50000000</v>
      </c>
      <c r="P58" s="178">
        <v>0</v>
      </c>
      <c r="Q58" s="178">
        <v>0</v>
      </c>
      <c r="R58" s="447">
        <v>50000000</v>
      </c>
      <c r="S58" s="455">
        <f>N58+R58</f>
        <v>100000000</v>
      </c>
      <c r="T58" s="447">
        <f>S58-N58</f>
        <v>50000000</v>
      </c>
      <c r="U58" s="227">
        <f>T58/N58*100</f>
        <v>100</v>
      </c>
      <c r="V58" s="414"/>
      <c r="W58" s="78"/>
    </row>
    <row r="59" spans="1:23" ht="39" customHeight="1">
      <c r="A59" s="180"/>
      <c r="B59" s="169" t="s">
        <v>516</v>
      </c>
      <c r="C59" s="1065" t="s">
        <v>675</v>
      </c>
      <c r="D59" s="1066"/>
      <c r="E59" s="1066"/>
      <c r="F59" s="1067"/>
      <c r="G59" s="171" t="s">
        <v>67</v>
      </c>
      <c r="H59" s="172">
        <v>1</v>
      </c>
      <c r="I59" s="175" t="s">
        <v>68</v>
      </c>
      <c r="J59" s="177">
        <v>0</v>
      </c>
      <c r="K59" s="177">
        <v>0</v>
      </c>
      <c r="L59" s="177">
        <v>50000000</v>
      </c>
      <c r="M59" s="177">
        <f>-M58</f>
        <v>0</v>
      </c>
      <c r="N59" s="449">
        <f t="shared" si="8"/>
        <v>50000000</v>
      </c>
      <c r="O59" s="177">
        <v>0</v>
      </c>
      <c r="P59" s="177">
        <v>0</v>
      </c>
      <c r="Q59" s="177">
        <v>50000000</v>
      </c>
      <c r="R59" s="447">
        <v>0</v>
      </c>
      <c r="S59" s="455">
        <f>N59</f>
        <v>50000000</v>
      </c>
      <c r="T59" s="447">
        <f t="shared" ref="T59:T64" si="9">S59-N59</f>
        <v>0</v>
      </c>
      <c r="U59" s="227"/>
      <c r="V59" s="414"/>
      <c r="W59" s="78"/>
    </row>
    <row r="60" spans="1:23" ht="22.5" customHeight="1">
      <c r="A60" s="180"/>
      <c r="B60" s="169" t="s">
        <v>667</v>
      </c>
      <c r="C60" s="1077" t="s">
        <v>676</v>
      </c>
      <c r="D60" s="1077"/>
      <c r="E60" s="1077"/>
      <c r="F60" s="1077"/>
      <c r="G60" s="171" t="s">
        <v>67</v>
      </c>
      <c r="H60" s="172">
        <v>1</v>
      </c>
      <c r="I60" s="175" t="s">
        <v>68</v>
      </c>
      <c r="J60" s="177">
        <v>0</v>
      </c>
      <c r="K60" s="177">
        <v>0</v>
      </c>
      <c r="L60" s="177">
        <v>100000000</v>
      </c>
      <c r="M60" s="177">
        <v>0</v>
      </c>
      <c r="N60" s="449">
        <f t="shared" si="8"/>
        <v>100000000</v>
      </c>
      <c r="O60" s="177">
        <v>0</v>
      </c>
      <c r="P60" s="177">
        <v>0</v>
      </c>
      <c r="Q60" s="177">
        <v>100000000</v>
      </c>
      <c r="R60" s="447">
        <v>0</v>
      </c>
      <c r="S60" s="455">
        <f>N60</f>
        <v>100000000</v>
      </c>
      <c r="T60" s="447">
        <f t="shared" si="9"/>
        <v>0</v>
      </c>
      <c r="U60" s="227"/>
      <c r="V60" s="414"/>
      <c r="W60" s="78"/>
    </row>
    <row r="61" spans="1:23" ht="22.5" customHeight="1">
      <c r="A61" s="180"/>
      <c r="B61" s="169" t="s">
        <v>668</v>
      </c>
      <c r="C61" s="1077" t="s">
        <v>677</v>
      </c>
      <c r="D61" s="1077"/>
      <c r="E61" s="1077"/>
      <c r="F61" s="1077"/>
      <c r="G61" s="171" t="s">
        <v>67</v>
      </c>
      <c r="H61" s="172">
        <v>1</v>
      </c>
      <c r="I61" s="175" t="s">
        <v>68</v>
      </c>
      <c r="J61" s="177">
        <v>25000000</v>
      </c>
      <c r="K61" s="177">
        <v>0</v>
      </c>
      <c r="L61" s="177">
        <v>0</v>
      </c>
      <c r="M61" s="177">
        <v>0</v>
      </c>
      <c r="N61" s="449">
        <f t="shared" si="8"/>
        <v>25000000</v>
      </c>
      <c r="O61" s="177">
        <v>25000000</v>
      </c>
      <c r="P61" s="177">
        <v>0</v>
      </c>
      <c r="Q61" s="177">
        <v>0</v>
      </c>
      <c r="R61" s="447">
        <v>50000000</v>
      </c>
      <c r="S61" s="455">
        <f t="shared" si="7"/>
        <v>75000000</v>
      </c>
      <c r="T61" s="447">
        <f t="shared" si="9"/>
        <v>50000000</v>
      </c>
      <c r="U61" s="227">
        <f>T61/N61*100</f>
        <v>200</v>
      </c>
      <c r="V61" s="414"/>
      <c r="W61" s="78"/>
    </row>
    <row r="62" spans="1:23" ht="22.5" customHeight="1">
      <c r="A62" s="180"/>
      <c r="B62" s="169" t="s">
        <v>669</v>
      </c>
      <c r="C62" s="1065" t="s">
        <v>678</v>
      </c>
      <c r="D62" s="1066"/>
      <c r="E62" s="1066"/>
      <c r="F62" s="1067"/>
      <c r="G62" s="171" t="s">
        <v>67</v>
      </c>
      <c r="H62" s="172">
        <v>1</v>
      </c>
      <c r="I62" s="175" t="s">
        <v>68</v>
      </c>
      <c r="J62" s="177">
        <v>0</v>
      </c>
      <c r="K62" s="177">
        <v>200000000</v>
      </c>
      <c r="L62" s="177">
        <v>0</v>
      </c>
      <c r="M62" s="177">
        <v>0</v>
      </c>
      <c r="N62" s="449">
        <f t="shared" si="8"/>
        <v>200000000</v>
      </c>
      <c r="O62" s="177">
        <v>0</v>
      </c>
      <c r="P62" s="177">
        <v>200000000</v>
      </c>
      <c r="Q62" s="177">
        <v>0</v>
      </c>
      <c r="R62" s="447">
        <v>0</v>
      </c>
      <c r="S62" s="455">
        <f t="shared" si="7"/>
        <v>200000000</v>
      </c>
      <c r="T62" s="447">
        <f t="shared" si="9"/>
        <v>0</v>
      </c>
      <c r="U62" s="227"/>
      <c r="V62" s="414"/>
      <c r="W62" s="78"/>
    </row>
    <row r="63" spans="1:23" ht="22.5" customHeight="1">
      <c r="A63" s="180"/>
      <c r="B63" s="169" t="s">
        <v>670</v>
      </c>
      <c r="C63" s="1065" t="s">
        <v>679</v>
      </c>
      <c r="D63" s="1066"/>
      <c r="E63" s="1066"/>
      <c r="F63" s="1067"/>
      <c r="G63" s="171" t="s">
        <v>67</v>
      </c>
      <c r="H63" s="172">
        <v>1</v>
      </c>
      <c r="I63" s="175" t="s">
        <v>68</v>
      </c>
      <c r="J63" s="177">
        <v>0</v>
      </c>
      <c r="K63" s="177">
        <v>0</v>
      </c>
      <c r="L63" s="177">
        <v>150000000</v>
      </c>
      <c r="M63" s="177">
        <v>0</v>
      </c>
      <c r="N63" s="449">
        <f t="shared" si="8"/>
        <v>150000000</v>
      </c>
      <c r="O63" s="177">
        <v>0</v>
      </c>
      <c r="P63" s="177">
        <v>0</v>
      </c>
      <c r="Q63" s="177">
        <v>150000000</v>
      </c>
      <c r="R63" s="447">
        <v>0</v>
      </c>
      <c r="S63" s="455">
        <f t="shared" si="7"/>
        <v>150000000</v>
      </c>
      <c r="T63" s="447">
        <f t="shared" si="9"/>
        <v>0</v>
      </c>
      <c r="U63" s="227"/>
      <c r="V63" s="414"/>
      <c r="W63" s="78"/>
    </row>
    <row r="64" spans="1:23" ht="22.5" customHeight="1">
      <c r="A64" s="180"/>
      <c r="B64" s="169" t="s">
        <v>671</v>
      </c>
      <c r="C64" s="1065" t="s">
        <v>680</v>
      </c>
      <c r="D64" s="1066"/>
      <c r="E64" s="1066"/>
      <c r="F64" s="1067"/>
      <c r="G64" s="171" t="s">
        <v>67</v>
      </c>
      <c r="H64" s="172">
        <v>1</v>
      </c>
      <c r="I64" s="175" t="s">
        <v>68</v>
      </c>
      <c r="J64" s="177">
        <v>0</v>
      </c>
      <c r="K64" s="177">
        <v>200000000</v>
      </c>
      <c r="L64" s="177">
        <v>0</v>
      </c>
      <c r="M64" s="177">
        <v>0</v>
      </c>
      <c r="N64" s="449">
        <f t="shared" si="8"/>
        <v>200000000</v>
      </c>
      <c r="O64" s="177">
        <v>0</v>
      </c>
      <c r="P64" s="177">
        <v>0</v>
      </c>
      <c r="Q64" s="177">
        <v>0</v>
      </c>
      <c r="R64" s="447">
        <v>200000000</v>
      </c>
      <c r="S64" s="455">
        <f t="shared" si="7"/>
        <v>200000000</v>
      </c>
      <c r="T64" s="447">
        <f t="shared" si="9"/>
        <v>0</v>
      </c>
      <c r="U64" s="227"/>
      <c r="V64" s="414"/>
      <c r="W64" s="78"/>
    </row>
    <row r="65" spans="1:23" ht="22.5" customHeight="1">
      <c r="A65" s="180"/>
      <c r="B65" s="169" t="s">
        <v>672</v>
      </c>
      <c r="C65" s="1065" t="s">
        <v>681</v>
      </c>
      <c r="D65" s="1066"/>
      <c r="E65" s="1066"/>
      <c r="F65" s="1067"/>
      <c r="G65" s="171" t="s">
        <v>67</v>
      </c>
      <c r="H65" s="172">
        <v>1</v>
      </c>
      <c r="I65" s="175" t="s">
        <v>68</v>
      </c>
      <c r="J65" s="177">
        <v>0</v>
      </c>
      <c r="K65" s="480">
        <v>0</v>
      </c>
      <c r="L65" s="480">
        <v>200000000</v>
      </c>
      <c r="M65" s="480">
        <v>0</v>
      </c>
      <c r="N65" s="449">
        <f t="shared" si="8"/>
        <v>200000000</v>
      </c>
      <c r="O65" s="480">
        <v>0</v>
      </c>
      <c r="P65" s="480">
        <v>0</v>
      </c>
      <c r="Q65" s="480">
        <v>0</v>
      </c>
      <c r="R65" s="447">
        <v>0</v>
      </c>
      <c r="S65" s="455">
        <f t="shared" si="7"/>
        <v>0</v>
      </c>
      <c r="T65" s="455">
        <f>S65-N65</f>
        <v>-200000000</v>
      </c>
      <c r="U65" s="227"/>
      <c r="V65" s="414"/>
      <c r="W65" s="78"/>
    </row>
    <row r="66" spans="1:23" ht="22.5" customHeight="1">
      <c r="A66" s="180"/>
      <c r="B66" s="169" t="s">
        <v>673</v>
      </c>
      <c r="C66" s="1065" t="s">
        <v>682</v>
      </c>
      <c r="D66" s="1066"/>
      <c r="E66" s="1066"/>
      <c r="F66" s="1067"/>
      <c r="G66" s="171" t="s">
        <v>67</v>
      </c>
      <c r="H66" s="172">
        <v>1</v>
      </c>
      <c r="I66" s="175" t="s">
        <v>68</v>
      </c>
      <c r="J66" s="177">
        <v>0</v>
      </c>
      <c r="K66" s="480">
        <v>15000000</v>
      </c>
      <c r="L66" s="480">
        <v>185000000</v>
      </c>
      <c r="M66" s="480">
        <v>0</v>
      </c>
      <c r="N66" s="449">
        <f t="shared" si="8"/>
        <v>200000000</v>
      </c>
      <c r="O66" s="480">
        <v>0</v>
      </c>
      <c r="P66" s="480">
        <v>0</v>
      </c>
      <c r="Q66" s="480">
        <v>0</v>
      </c>
      <c r="R66" s="447"/>
      <c r="S66" s="455">
        <v>0</v>
      </c>
      <c r="T66" s="455">
        <f>S66-N66</f>
        <v>-200000000</v>
      </c>
      <c r="U66" s="227"/>
      <c r="V66" s="414"/>
      <c r="W66" s="78"/>
    </row>
    <row r="67" spans="1:23" ht="22.5" customHeight="1">
      <c r="A67" s="180"/>
      <c r="B67" s="169" t="s">
        <v>715</v>
      </c>
      <c r="C67" s="1065" t="s">
        <v>716</v>
      </c>
      <c r="D67" s="1066"/>
      <c r="E67" s="1066"/>
      <c r="F67" s="1067"/>
      <c r="G67" s="171" t="s">
        <v>67</v>
      </c>
      <c r="H67" s="172">
        <v>1</v>
      </c>
      <c r="I67" s="175" t="s">
        <v>68</v>
      </c>
      <c r="J67" s="177"/>
      <c r="K67" s="177">
        <v>40000000</v>
      </c>
      <c r="L67" s="177">
        <v>55000000</v>
      </c>
      <c r="M67" s="177">
        <v>5000000</v>
      </c>
      <c r="N67" s="448">
        <f t="shared" si="8"/>
        <v>100000000</v>
      </c>
      <c r="O67" s="177">
        <v>0</v>
      </c>
      <c r="P67" s="177">
        <v>0</v>
      </c>
      <c r="Q67" s="177">
        <v>0</v>
      </c>
      <c r="R67" s="455">
        <v>100000000</v>
      </c>
      <c r="S67" s="466">
        <f t="shared" si="7"/>
        <v>100000000</v>
      </c>
      <c r="T67" s="455">
        <f t="shared" ref="T67:T89" si="10">S67-N67</f>
        <v>0</v>
      </c>
      <c r="U67" s="227"/>
      <c r="V67" s="414"/>
      <c r="W67" s="78"/>
    </row>
    <row r="68" spans="1:23" ht="22.5" customHeight="1">
      <c r="A68" s="180"/>
      <c r="B68" s="169" t="s">
        <v>861</v>
      </c>
      <c r="C68" s="1078" t="s">
        <v>862</v>
      </c>
      <c r="D68" s="1079"/>
      <c r="E68" s="1079"/>
      <c r="F68" s="1080"/>
      <c r="G68" s="171" t="s">
        <v>67</v>
      </c>
      <c r="H68" s="172">
        <v>1</v>
      </c>
      <c r="I68" s="175" t="s">
        <v>68</v>
      </c>
      <c r="J68" s="177">
        <v>0</v>
      </c>
      <c r="K68" s="177">
        <v>0</v>
      </c>
      <c r="L68" s="177">
        <v>0</v>
      </c>
      <c r="M68" s="177">
        <v>0</v>
      </c>
      <c r="N68" s="448">
        <v>0</v>
      </c>
      <c r="O68" s="177">
        <v>0</v>
      </c>
      <c r="P68" s="177">
        <v>0</v>
      </c>
      <c r="Q68" s="177">
        <v>0</v>
      </c>
      <c r="R68" s="455">
        <v>200000000</v>
      </c>
      <c r="S68" s="466">
        <f t="shared" si="7"/>
        <v>200000000</v>
      </c>
      <c r="T68" s="455">
        <f t="shared" si="10"/>
        <v>200000000</v>
      </c>
      <c r="U68" s="479"/>
      <c r="V68" s="414"/>
      <c r="W68" s="78"/>
    </row>
    <row r="69" spans="1:23" ht="22.5" customHeight="1">
      <c r="A69" s="180"/>
      <c r="B69" s="169" t="s">
        <v>863</v>
      </c>
      <c r="C69" s="1065" t="s">
        <v>864</v>
      </c>
      <c r="D69" s="1066"/>
      <c r="E69" s="1066"/>
      <c r="F69" s="1067"/>
      <c r="G69" s="171" t="s">
        <v>67</v>
      </c>
      <c r="H69" s="172">
        <v>1</v>
      </c>
      <c r="I69" s="175" t="s">
        <v>68</v>
      </c>
      <c r="J69" s="177">
        <v>0</v>
      </c>
      <c r="K69" s="177">
        <v>0</v>
      </c>
      <c r="L69" s="177">
        <v>0</v>
      </c>
      <c r="M69" s="177">
        <v>0</v>
      </c>
      <c r="N69" s="448">
        <v>0</v>
      </c>
      <c r="O69" s="177">
        <v>0</v>
      </c>
      <c r="P69" s="177">
        <v>0</v>
      </c>
      <c r="Q69" s="177">
        <v>0</v>
      </c>
      <c r="R69" s="455">
        <v>115000000</v>
      </c>
      <c r="S69" s="466">
        <f t="shared" si="7"/>
        <v>115000000</v>
      </c>
      <c r="T69" s="455">
        <f t="shared" si="10"/>
        <v>115000000</v>
      </c>
      <c r="U69" s="479"/>
      <c r="V69" s="414"/>
      <c r="W69" s="78"/>
    </row>
    <row r="70" spans="1:23" ht="22.5" customHeight="1">
      <c r="A70" s="180"/>
      <c r="B70" s="169" t="s">
        <v>865</v>
      </c>
      <c r="C70" s="1065" t="s">
        <v>866</v>
      </c>
      <c r="D70" s="1066"/>
      <c r="E70" s="1066"/>
      <c r="F70" s="1067"/>
      <c r="G70" s="171" t="s">
        <v>67</v>
      </c>
      <c r="H70" s="172">
        <v>1</v>
      </c>
      <c r="I70" s="175" t="s">
        <v>68</v>
      </c>
      <c r="J70" s="177"/>
      <c r="K70" s="177"/>
      <c r="L70" s="177"/>
      <c r="M70" s="177"/>
      <c r="N70" s="448">
        <v>0</v>
      </c>
      <c r="O70" s="177"/>
      <c r="P70" s="177"/>
      <c r="Q70" s="177"/>
      <c r="R70" s="455">
        <v>85000000</v>
      </c>
      <c r="S70" s="466">
        <f t="shared" si="7"/>
        <v>85000000</v>
      </c>
      <c r="T70" s="455">
        <f t="shared" si="10"/>
        <v>85000000</v>
      </c>
      <c r="U70" s="479"/>
      <c r="V70" s="414"/>
      <c r="W70" s="78"/>
    </row>
    <row r="71" spans="1:23" ht="28.5" customHeight="1">
      <c r="A71" s="180"/>
      <c r="B71" s="169" t="s">
        <v>868</v>
      </c>
      <c r="C71" s="1065" t="s">
        <v>869</v>
      </c>
      <c r="D71" s="1066"/>
      <c r="E71" s="1066"/>
      <c r="F71" s="1067"/>
      <c r="G71" s="171" t="s">
        <v>67</v>
      </c>
      <c r="H71" s="172">
        <v>1</v>
      </c>
      <c r="I71" s="175" t="s">
        <v>68</v>
      </c>
      <c r="J71" s="177">
        <v>0</v>
      </c>
      <c r="K71" s="177">
        <v>0</v>
      </c>
      <c r="L71" s="177">
        <v>0</v>
      </c>
      <c r="M71" s="177">
        <v>0</v>
      </c>
      <c r="N71" s="448">
        <v>0</v>
      </c>
      <c r="O71" s="177">
        <v>0</v>
      </c>
      <c r="P71" s="177">
        <v>0</v>
      </c>
      <c r="Q71" s="177">
        <v>0</v>
      </c>
      <c r="R71" s="455">
        <v>40000000</v>
      </c>
      <c r="S71" s="466">
        <f t="shared" si="7"/>
        <v>40000000</v>
      </c>
      <c r="T71" s="455">
        <f t="shared" si="10"/>
        <v>40000000</v>
      </c>
      <c r="U71" s="479"/>
      <c r="V71" s="414"/>
      <c r="W71" s="78"/>
    </row>
    <row r="72" spans="1:23" ht="28.5" customHeight="1">
      <c r="A72" s="180"/>
      <c r="B72" s="169" t="s">
        <v>870</v>
      </c>
      <c r="C72" s="1065" t="s">
        <v>871</v>
      </c>
      <c r="D72" s="1066"/>
      <c r="E72" s="1066"/>
      <c r="F72" s="1067"/>
      <c r="G72" s="171" t="s">
        <v>67</v>
      </c>
      <c r="H72" s="172">
        <v>1</v>
      </c>
      <c r="I72" s="175" t="s">
        <v>68</v>
      </c>
      <c r="J72" s="177">
        <v>0</v>
      </c>
      <c r="K72" s="177">
        <v>0</v>
      </c>
      <c r="L72" s="177">
        <v>0</v>
      </c>
      <c r="M72" s="177">
        <v>0</v>
      </c>
      <c r="N72" s="448">
        <v>0</v>
      </c>
      <c r="O72" s="177">
        <v>0</v>
      </c>
      <c r="P72" s="177">
        <v>0</v>
      </c>
      <c r="Q72" s="177">
        <v>0</v>
      </c>
      <c r="R72" s="455">
        <v>100000000</v>
      </c>
      <c r="S72" s="466">
        <f t="shared" si="7"/>
        <v>100000000</v>
      </c>
      <c r="T72" s="455">
        <f t="shared" si="10"/>
        <v>100000000</v>
      </c>
      <c r="U72" s="479"/>
      <c r="V72" s="414"/>
      <c r="W72" s="78"/>
    </row>
    <row r="73" spans="1:23" ht="28.5" customHeight="1">
      <c r="A73" s="180"/>
      <c r="B73" s="169" t="s">
        <v>872</v>
      </c>
      <c r="C73" s="1065" t="s">
        <v>873</v>
      </c>
      <c r="D73" s="1066"/>
      <c r="E73" s="1066"/>
      <c r="F73" s="1067"/>
      <c r="G73" s="171" t="s">
        <v>67</v>
      </c>
      <c r="H73" s="172">
        <v>1</v>
      </c>
      <c r="I73" s="175" t="s">
        <v>68</v>
      </c>
      <c r="J73" s="177">
        <v>0</v>
      </c>
      <c r="K73" s="177">
        <v>0</v>
      </c>
      <c r="L73" s="177">
        <v>0</v>
      </c>
      <c r="M73" s="177">
        <v>0</v>
      </c>
      <c r="N73" s="448">
        <v>0</v>
      </c>
      <c r="O73" s="177">
        <v>0</v>
      </c>
      <c r="P73" s="177">
        <v>0</v>
      </c>
      <c r="Q73" s="177">
        <v>0</v>
      </c>
      <c r="R73" s="455">
        <v>30000000</v>
      </c>
      <c r="S73" s="466">
        <f t="shared" si="7"/>
        <v>30000000</v>
      </c>
      <c r="T73" s="455">
        <f t="shared" si="10"/>
        <v>30000000</v>
      </c>
      <c r="U73" s="479"/>
      <c r="V73" s="414"/>
      <c r="W73" s="78"/>
    </row>
    <row r="74" spans="1:23" ht="28.5" customHeight="1">
      <c r="A74" s="180"/>
      <c r="B74" s="169" t="s">
        <v>874</v>
      </c>
      <c r="C74" s="1065" t="s">
        <v>876</v>
      </c>
      <c r="D74" s="1066"/>
      <c r="E74" s="1066"/>
      <c r="F74" s="1067"/>
      <c r="G74" s="171" t="s">
        <v>67</v>
      </c>
      <c r="H74" s="172">
        <v>1</v>
      </c>
      <c r="I74" s="175" t="s">
        <v>68</v>
      </c>
      <c r="J74" s="177">
        <v>0</v>
      </c>
      <c r="K74" s="177">
        <v>0</v>
      </c>
      <c r="L74" s="177">
        <v>0</v>
      </c>
      <c r="M74" s="177">
        <v>0</v>
      </c>
      <c r="N74" s="448">
        <v>0</v>
      </c>
      <c r="O74" s="177">
        <v>0</v>
      </c>
      <c r="P74" s="177">
        <v>0</v>
      </c>
      <c r="Q74" s="177">
        <v>0</v>
      </c>
      <c r="R74" s="455">
        <v>30000000</v>
      </c>
      <c r="S74" s="466">
        <f t="shared" si="7"/>
        <v>30000000</v>
      </c>
      <c r="T74" s="455">
        <f t="shared" si="10"/>
        <v>30000000</v>
      </c>
      <c r="U74" s="479"/>
      <c r="V74" s="414"/>
      <c r="W74" s="78"/>
    </row>
    <row r="75" spans="1:23" ht="28.5" customHeight="1">
      <c r="A75" s="180"/>
      <c r="B75" s="169" t="s">
        <v>875</v>
      </c>
      <c r="C75" s="1065" t="s">
        <v>877</v>
      </c>
      <c r="D75" s="1066"/>
      <c r="E75" s="1066"/>
      <c r="F75" s="1067"/>
      <c r="G75" s="171" t="s">
        <v>67</v>
      </c>
      <c r="H75" s="172">
        <v>1</v>
      </c>
      <c r="I75" s="175" t="s">
        <v>68</v>
      </c>
      <c r="J75" s="177">
        <v>0</v>
      </c>
      <c r="K75" s="177">
        <v>0</v>
      </c>
      <c r="L75" s="177">
        <v>0</v>
      </c>
      <c r="M75" s="177">
        <v>0</v>
      </c>
      <c r="N75" s="448">
        <v>0</v>
      </c>
      <c r="O75" s="177">
        <v>0</v>
      </c>
      <c r="P75" s="177">
        <v>0</v>
      </c>
      <c r="Q75" s="177">
        <v>0</v>
      </c>
      <c r="R75" s="455">
        <v>150000000</v>
      </c>
      <c r="S75" s="466">
        <f t="shared" si="7"/>
        <v>150000000</v>
      </c>
      <c r="T75" s="455">
        <f t="shared" si="10"/>
        <v>150000000</v>
      </c>
      <c r="U75" s="479"/>
      <c r="V75" s="414"/>
      <c r="W75" s="78"/>
    </row>
    <row r="76" spans="1:23" ht="34.5" customHeight="1">
      <c r="A76" s="180"/>
      <c r="B76" s="169" t="s">
        <v>878</v>
      </c>
      <c r="C76" s="1065" t="s">
        <v>879</v>
      </c>
      <c r="D76" s="1066"/>
      <c r="E76" s="1066"/>
      <c r="F76" s="1067"/>
      <c r="G76" s="171" t="s">
        <v>67</v>
      </c>
      <c r="H76" s="172">
        <v>1</v>
      </c>
      <c r="I76" s="175" t="s">
        <v>68</v>
      </c>
      <c r="J76" s="177">
        <v>0</v>
      </c>
      <c r="K76" s="177">
        <v>0</v>
      </c>
      <c r="L76" s="177">
        <v>0</v>
      </c>
      <c r="M76" s="177">
        <v>0</v>
      </c>
      <c r="N76" s="448">
        <v>0</v>
      </c>
      <c r="O76" s="177">
        <v>0</v>
      </c>
      <c r="P76" s="177">
        <v>0</v>
      </c>
      <c r="Q76" s="177">
        <v>0</v>
      </c>
      <c r="R76" s="455">
        <v>40000000</v>
      </c>
      <c r="S76" s="466">
        <f t="shared" si="7"/>
        <v>40000000</v>
      </c>
      <c r="T76" s="455">
        <f t="shared" si="10"/>
        <v>40000000</v>
      </c>
      <c r="U76" s="479"/>
      <c r="V76" s="414"/>
      <c r="W76" s="78"/>
    </row>
    <row r="77" spans="1:23" ht="34.5" customHeight="1">
      <c r="A77" s="180"/>
      <c r="B77" s="169" t="s">
        <v>880</v>
      </c>
      <c r="C77" s="1065" t="s">
        <v>881</v>
      </c>
      <c r="D77" s="1066"/>
      <c r="E77" s="1066"/>
      <c r="F77" s="1067"/>
      <c r="G77" s="171" t="s">
        <v>67</v>
      </c>
      <c r="H77" s="172">
        <v>1</v>
      </c>
      <c r="I77" s="175" t="s">
        <v>68</v>
      </c>
      <c r="J77" s="177">
        <v>0</v>
      </c>
      <c r="K77" s="177">
        <v>0</v>
      </c>
      <c r="L77" s="177">
        <v>0</v>
      </c>
      <c r="M77" s="177">
        <v>0</v>
      </c>
      <c r="N77" s="448">
        <v>0</v>
      </c>
      <c r="O77" s="177">
        <v>0</v>
      </c>
      <c r="P77" s="177">
        <v>0</v>
      </c>
      <c r="Q77" s="177">
        <v>0</v>
      </c>
      <c r="R77" s="455">
        <v>50000000</v>
      </c>
      <c r="S77" s="466">
        <f t="shared" si="7"/>
        <v>50000000</v>
      </c>
      <c r="T77" s="455">
        <f t="shared" si="10"/>
        <v>50000000</v>
      </c>
      <c r="U77" s="479"/>
      <c r="V77" s="414"/>
      <c r="W77" s="78"/>
    </row>
    <row r="78" spans="1:23" ht="24.75" customHeight="1">
      <c r="A78" s="180"/>
      <c r="B78" s="169" t="s">
        <v>882</v>
      </c>
      <c r="C78" s="1287" t="s">
        <v>883</v>
      </c>
      <c r="D78" s="1288"/>
      <c r="E78" s="1288"/>
      <c r="F78" s="1289"/>
      <c r="G78" s="171" t="s">
        <v>67</v>
      </c>
      <c r="H78" s="172">
        <v>1</v>
      </c>
      <c r="I78" s="175" t="s">
        <v>68</v>
      </c>
      <c r="J78" s="177">
        <v>0</v>
      </c>
      <c r="K78" s="177">
        <v>0</v>
      </c>
      <c r="L78" s="177">
        <v>0</v>
      </c>
      <c r="M78" s="177">
        <v>0</v>
      </c>
      <c r="N78" s="448">
        <v>0</v>
      </c>
      <c r="O78" s="177">
        <v>0</v>
      </c>
      <c r="P78" s="177">
        <v>0</v>
      </c>
      <c r="Q78" s="177">
        <v>0</v>
      </c>
      <c r="R78" s="455">
        <v>50000000</v>
      </c>
      <c r="S78" s="466">
        <f t="shared" si="7"/>
        <v>50000000</v>
      </c>
      <c r="T78" s="455">
        <f t="shared" si="10"/>
        <v>50000000</v>
      </c>
      <c r="U78" s="479"/>
      <c r="V78" s="414"/>
      <c r="W78" s="78"/>
    </row>
    <row r="79" spans="1:23" ht="22.5" customHeight="1">
      <c r="A79" s="225" t="s">
        <v>683</v>
      </c>
      <c r="B79" s="169"/>
      <c r="C79" s="1071" t="s">
        <v>684</v>
      </c>
      <c r="D79" s="1072"/>
      <c r="E79" s="1072"/>
      <c r="F79" s="1073"/>
      <c r="G79" s="171" t="s">
        <v>67</v>
      </c>
      <c r="H79" s="172">
        <v>1</v>
      </c>
      <c r="I79" s="175" t="s">
        <v>68</v>
      </c>
      <c r="J79" s="486">
        <f>J81+J82+J83</f>
        <v>92500000</v>
      </c>
      <c r="K79" s="486">
        <f>K81+K82+K83</f>
        <v>207500000</v>
      </c>
      <c r="L79" s="486">
        <f>L81+L82+L83</f>
        <v>0</v>
      </c>
      <c r="M79" s="486">
        <f>M81+M82+M83</f>
        <v>0</v>
      </c>
      <c r="N79" s="486">
        <f>J79+K79</f>
        <v>300000000</v>
      </c>
      <c r="O79" s="486">
        <f>O81+O82+O83</f>
        <v>92500000</v>
      </c>
      <c r="P79" s="486">
        <f>P81+P82+P83</f>
        <v>207500000</v>
      </c>
      <c r="Q79" s="486">
        <f>Q81+Q82+Q83</f>
        <v>0</v>
      </c>
      <c r="R79" s="486">
        <f>SUM(R81:R84)</f>
        <v>150000000</v>
      </c>
      <c r="S79" s="487">
        <f>SUM(S81:S84)</f>
        <v>450000000</v>
      </c>
      <c r="T79" s="455">
        <f>S79-N79</f>
        <v>150000000</v>
      </c>
      <c r="U79" s="305"/>
      <c r="V79" s="439"/>
      <c r="W79" s="78"/>
    </row>
    <row r="80" spans="1:23" ht="22.5" customHeight="1">
      <c r="A80" s="1290" t="s">
        <v>909</v>
      </c>
      <c r="B80" s="1291"/>
      <c r="C80" s="1291"/>
      <c r="D80" s="1291"/>
      <c r="E80" s="1291"/>
      <c r="F80" s="1291"/>
      <c r="G80" s="1291"/>
      <c r="H80" s="1291"/>
      <c r="I80" s="1291"/>
      <c r="J80" s="1291"/>
      <c r="K80" s="1292"/>
      <c r="L80" s="1293" t="s">
        <v>912</v>
      </c>
      <c r="M80" s="1294"/>
      <c r="N80" s="1294"/>
      <c r="O80" s="1295"/>
      <c r="P80" s="1293" t="s">
        <v>913</v>
      </c>
      <c r="Q80" s="1294"/>
      <c r="R80" s="1294"/>
      <c r="S80" s="1294"/>
      <c r="T80" s="1294"/>
      <c r="U80" s="1295"/>
      <c r="V80" s="439"/>
      <c r="W80" s="78"/>
    </row>
    <row r="81" spans="1:25" ht="23.25" customHeight="1">
      <c r="A81" s="180"/>
      <c r="B81" s="169" t="s">
        <v>688</v>
      </c>
      <c r="C81" s="1065" t="s">
        <v>685</v>
      </c>
      <c r="D81" s="1066"/>
      <c r="E81" s="1066"/>
      <c r="F81" s="1067"/>
      <c r="G81" s="171" t="s">
        <v>67</v>
      </c>
      <c r="H81" s="172">
        <v>1</v>
      </c>
      <c r="I81" s="175" t="s">
        <v>68</v>
      </c>
      <c r="J81" s="177">
        <v>42500000</v>
      </c>
      <c r="K81" s="177">
        <v>7500000</v>
      </c>
      <c r="L81" s="177">
        <v>0</v>
      </c>
      <c r="M81" s="177">
        <v>0</v>
      </c>
      <c r="N81" s="177">
        <f t="shared" ref="N81:N87" si="11">J81+K81</f>
        <v>50000000</v>
      </c>
      <c r="O81" s="177">
        <v>42500000</v>
      </c>
      <c r="P81" s="177">
        <v>7500000</v>
      </c>
      <c r="Q81" s="177">
        <v>0</v>
      </c>
      <c r="R81" s="443"/>
      <c r="S81" s="466">
        <f t="shared" si="7"/>
        <v>50000000</v>
      </c>
      <c r="T81" s="455">
        <f t="shared" si="10"/>
        <v>0</v>
      </c>
      <c r="U81" s="378"/>
      <c r="V81" s="440"/>
      <c r="W81" s="78"/>
    </row>
    <row r="82" spans="1:25" ht="24" customHeight="1">
      <c r="A82" s="180"/>
      <c r="B82" s="169" t="s">
        <v>689</v>
      </c>
      <c r="C82" s="1065" t="s">
        <v>686</v>
      </c>
      <c r="D82" s="1066"/>
      <c r="E82" s="1066"/>
      <c r="F82" s="1067"/>
      <c r="G82" s="171" t="s">
        <v>67</v>
      </c>
      <c r="H82" s="172">
        <v>1</v>
      </c>
      <c r="I82" s="175" t="s">
        <v>68</v>
      </c>
      <c r="J82" s="177">
        <v>50000000</v>
      </c>
      <c r="K82" s="177">
        <v>0</v>
      </c>
      <c r="L82" s="177">
        <v>0</v>
      </c>
      <c r="M82" s="177">
        <v>0</v>
      </c>
      <c r="N82" s="177">
        <f t="shared" si="11"/>
        <v>50000000</v>
      </c>
      <c r="O82" s="177">
        <v>50000000</v>
      </c>
      <c r="P82" s="177">
        <v>0</v>
      </c>
      <c r="Q82" s="177">
        <v>0</v>
      </c>
      <c r="R82" s="443"/>
      <c r="S82" s="466">
        <f t="shared" si="7"/>
        <v>50000000</v>
      </c>
      <c r="T82" s="455">
        <f t="shared" si="10"/>
        <v>0</v>
      </c>
      <c r="U82" s="378"/>
      <c r="V82" s="440"/>
      <c r="W82" s="78"/>
    </row>
    <row r="83" spans="1:25" ht="26.25" customHeight="1">
      <c r="A83" s="180"/>
      <c r="B83" s="169" t="s">
        <v>690</v>
      </c>
      <c r="C83" s="1065" t="s">
        <v>687</v>
      </c>
      <c r="D83" s="1066"/>
      <c r="E83" s="1066"/>
      <c r="F83" s="1067"/>
      <c r="G83" s="171" t="s">
        <v>67</v>
      </c>
      <c r="H83" s="172">
        <v>1</v>
      </c>
      <c r="I83" s="175" t="s">
        <v>68</v>
      </c>
      <c r="J83" s="177">
        <v>0</v>
      </c>
      <c r="K83" s="177">
        <v>200000000</v>
      </c>
      <c r="L83" s="177">
        <v>0</v>
      </c>
      <c r="M83" s="177">
        <v>0</v>
      </c>
      <c r="N83" s="177">
        <f t="shared" si="11"/>
        <v>200000000</v>
      </c>
      <c r="O83" s="177">
        <v>0</v>
      </c>
      <c r="P83" s="177">
        <v>200000000</v>
      </c>
      <c r="Q83" s="177">
        <v>0</v>
      </c>
      <c r="R83" s="443"/>
      <c r="S83" s="466">
        <f t="shared" si="7"/>
        <v>200000000</v>
      </c>
      <c r="T83" s="455">
        <f t="shared" si="10"/>
        <v>0</v>
      </c>
      <c r="U83" s="181"/>
      <c r="V83" s="435"/>
      <c r="W83" s="78"/>
    </row>
    <row r="84" spans="1:25" ht="25.5" customHeight="1">
      <c r="A84" s="180"/>
      <c r="B84" s="499">
        <v>17.13</v>
      </c>
      <c r="C84" s="1287" t="s">
        <v>889</v>
      </c>
      <c r="D84" s="1288"/>
      <c r="E84" s="1288"/>
      <c r="F84" s="1289"/>
      <c r="G84" s="171" t="s">
        <v>67</v>
      </c>
      <c r="H84" s="172">
        <v>1</v>
      </c>
      <c r="I84" s="175" t="s">
        <v>68</v>
      </c>
      <c r="J84" s="177">
        <v>0</v>
      </c>
      <c r="K84" s="177">
        <v>0</v>
      </c>
      <c r="L84" s="177">
        <v>0</v>
      </c>
      <c r="M84" s="177">
        <v>0</v>
      </c>
      <c r="N84" s="177">
        <v>0</v>
      </c>
      <c r="O84" s="177">
        <v>0</v>
      </c>
      <c r="P84" s="177">
        <v>0</v>
      </c>
      <c r="Q84" s="177">
        <v>0</v>
      </c>
      <c r="R84" s="443">
        <v>150000000</v>
      </c>
      <c r="S84" s="466">
        <f t="shared" si="7"/>
        <v>150000000</v>
      </c>
      <c r="T84" s="455">
        <f t="shared" si="10"/>
        <v>150000000</v>
      </c>
      <c r="U84" s="505">
        <v>100</v>
      </c>
      <c r="V84" s="435"/>
      <c r="W84" s="78"/>
    </row>
    <row r="85" spans="1:25" ht="22.5" customHeight="1">
      <c r="A85" s="225" t="s">
        <v>517</v>
      </c>
      <c r="B85" s="171"/>
      <c r="C85" s="1057" t="s">
        <v>518</v>
      </c>
      <c r="D85" s="1057"/>
      <c r="E85" s="1057"/>
      <c r="F85" s="1057"/>
      <c r="G85" s="171"/>
      <c r="H85" s="172"/>
      <c r="I85" s="175"/>
      <c r="J85" s="305">
        <f>J86+J87</f>
        <v>0</v>
      </c>
      <c r="K85" s="486">
        <f>K86+K87</f>
        <v>200000000</v>
      </c>
      <c r="L85" s="486">
        <f>L86+L87</f>
        <v>0</v>
      </c>
      <c r="M85" s="486">
        <f>M86+M87</f>
        <v>0</v>
      </c>
      <c r="N85" s="486">
        <f t="shared" si="11"/>
        <v>200000000</v>
      </c>
      <c r="O85" s="486">
        <f>O86+O87</f>
        <v>0</v>
      </c>
      <c r="P85" s="486">
        <f>P86+P87</f>
        <v>200000000</v>
      </c>
      <c r="Q85" s="305">
        <f>Q86+Q87</f>
        <v>0</v>
      </c>
      <c r="R85" s="305">
        <f>SUM(R86:R89)</f>
        <v>170000000</v>
      </c>
      <c r="S85" s="487">
        <f>SUM(S86:S89)</f>
        <v>370000000</v>
      </c>
      <c r="T85" s="455">
        <f>SUM(T86:T89)</f>
        <v>170000000</v>
      </c>
      <c r="U85" s="305"/>
      <c r="V85" s="439"/>
      <c r="W85" s="78"/>
    </row>
    <row r="86" spans="1:25" ht="27.75" customHeight="1">
      <c r="A86" s="180"/>
      <c r="B86" s="169" t="s">
        <v>692</v>
      </c>
      <c r="C86" s="1088" t="s">
        <v>691</v>
      </c>
      <c r="D86" s="1088"/>
      <c r="E86" s="1088"/>
      <c r="F86" s="1088"/>
      <c r="G86" s="171" t="s">
        <v>67</v>
      </c>
      <c r="H86" s="172">
        <v>1</v>
      </c>
      <c r="I86" s="175" t="s">
        <v>68</v>
      </c>
      <c r="J86" s="178">
        <v>0</v>
      </c>
      <c r="K86" s="178">
        <v>100000000</v>
      </c>
      <c r="L86" s="178">
        <v>0</v>
      </c>
      <c r="M86" s="178">
        <v>0</v>
      </c>
      <c r="N86" s="177">
        <f t="shared" si="11"/>
        <v>100000000</v>
      </c>
      <c r="O86" s="178">
        <v>0</v>
      </c>
      <c r="P86" s="178">
        <v>100000000</v>
      </c>
      <c r="Q86" s="178">
        <v>0</v>
      </c>
      <c r="R86" s="443"/>
      <c r="S86" s="466">
        <f t="shared" si="7"/>
        <v>100000000</v>
      </c>
      <c r="T86" s="455">
        <f t="shared" si="10"/>
        <v>0</v>
      </c>
      <c r="U86" s="181"/>
      <c r="V86" s="435"/>
      <c r="W86" s="78"/>
    </row>
    <row r="87" spans="1:25" ht="24.75" customHeight="1">
      <c r="A87" s="180"/>
      <c r="B87" s="169" t="s">
        <v>693</v>
      </c>
      <c r="C87" s="1065" t="s">
        <v>694</v>
      </c>
      <c r="D87" s="1066"/>
      <c r="E87" s="1066"/>
      <c r="F87" s="1067"/>
      <c r="G87" s="171" t="s">
        <v>67</v>
      </c>
      <c r="H87" s="172">
        <v>1</v>
      </c>
      <c r="I87" s="175" t="s">
        <v>68</v>
      </c>
      <c r="J87" s="178">
        <v>0</v>
      </c>
      <c r="K87" s="178">
        <v>100000000</v>
      </c>
      <c r="L87" s="178">
        <v>0</v>
      </c>
      <c r="M87" s="178">
        <v>0</v>
      </c>
      <c r="N87" s="177">
        <f t="shared" si="11"/>
        <v>100000000</v>
      </c>
      <c r="O87" s="178">
        <v>0</v>
      </c>
      <c r="P87" s="178">
        <v>100000000</v>
      </c>
      <c r="Q87" s="178">
        <v>0</v>
      </c>
      <c r="R87" s="443">
        <v>0</v>
      </c>
      <c r="S87" s="466">
        <f t="shared" si="7"/>
        <v>100000000</v>
      </c>
      <c r="T87" s="455">
        <f t="shared" si="10"/>
        <v>0</v>
      </c>
      <c r="U87" s="181"/>
      <c r="V87" s="435"/>
      <c r="W87" s="78"/>
    </row>
    <row r="88" spans="1:25" ht="24.75" customHeight="1">
      <c r="A88" s="180"/>
      <c r="B88" s="169" t="s">
        <v>884</v>
      </c>
      <c r="C88" s="1065" t="s">
        <v>886</v>
      </c>
      <c r="D88" s="1066"/>
      <c r="E88" s="1066"/>
      <c r="F88" s="1016"/>
      <c r="G88" s="171" t="s">
        <v>67</v>
      </c>
      <c r="H88" s="172">
        <v>1</v>
      </c>
      <c r="I88" s="175" t="s">
        <v>68</v>
      </c>
      <c r="J88" s="178">
        <v>0</v>
      </c>
      <c r="K88" s="178">
        <v>0</v>
      </c>
      <c r="L88" s="178">
        <v>0</v>
      </c>
      <c r="M88" s="178">
        <v>0</v>
      </c>
      <c r="N88" s="443">
        <v>0</v>
      </c>
      <c r="O88" s="481">
        <v>0</v>
      </c>
      <c r="P88" s="481">
        <v>0</v>
      </c>
      <c r="Q88" s="481">
        <v>0</v>
      </c>
      <c r="R88" s="481">
        <v>100000000</v>
      </c>
      <c r="S88" s="466">
        <f t="shared" si="7"/>
        <v>100000000</v>
      </c>
      <c r="T88" s="455">
        <f t="shared" si="10"/>
        <v>100000000</v>
      </c>
      <c r="U88" s="227">
        <v>100</v>
      </c>
      <c r="V88" s="435"/>
      <c r="W88" s="78"/>
    </row>
    <row r="89" spans="1:25" ht="24.75" customHeight="1">
      <c r="A89" s="180"/>
      <c r="B89" s="169" t="s">
        <v>885</v>
      </c>
      <c r="C89" s="1305" t="s">
        <v>887</v>
      </c>
      <c r="D89" s="1306"/>
      <c r="E89" s="1306"/>
      <c r="F89" s="1016"/>
      <c r="G89" s="171" t="s">
        <v>67</v>
      </c>
      <c r="H89" s="172">
        <v>1</v>
      </c>
      <c r="I89" s="175" t="s">
        <v>68</v>
      </c>
      <c r="J89" s="178">
        <v>0</v>
      </c>
      <c r="K89" s="178">
        <v>0</v>
      </c>
      <c r="L89" s="178">
        <v>0</v>
      </c>
      <c r="M89" s="178">
        <v>0</v>
      </c>
      <c r="N89" s="443">
        <v>0</v>
      </c>
      <c r="O89" s="481">
        <v>0</v>
      </c>
      <c r="P89" s="481">
        <v>0</v>
      </c>
      <c r="Q89" s="481">
        <v>0</v>
      </c>
      <c r="R89" s="481">
        <v>70000000</v>
      </c>
      <c r="S89" s="466">
        <f t="shared" si="7"/>
        <v>70000000</v>
      </c>
      <c r="T89" s="455">
        <f t="shared" si="10"/>
        <v>70000000</v>
      </c>
      <c r="U89" s="227">
        <v>100</v>
      </c>
      <c r="V89" s="435"/>
      <c r="W89" s="78"/>
    </row>
    <row r="90" spans="1:25" ht="21" customHeight="1">
      <c r="A90" s="180"/>
      <c r="B90" s="171"/>
      <c r="C90" s="1054"/>
      <c r="D90" s="1055"/>
      <c r="E90" s="1055"/>
      <c r="F90" s="1052"/>
      <c r="G90" s="171"/>
      <c r="H90" s="171"/>
      <c r="I90" s="171"/>
      <c r="J90" s="171"/>
      <c r="K90" s="171"/>
      <c r="L90" s="171"/>
      <c r="M90" s="171"/>
      <c r="N90" s="444"/>
      <c r="O90" s="444"/>
      <c r="P90" s="444"/>
      <c r="Q90" s="444"/>
      <c r="R90" s="444"/>
      <c r="S90" s="444"/>
      <c r="T90" s="444"/>
      <c r="U90" s="181"/>
      <c r="V90" s="435"/>
    </row>
    <row r="91" spans="1:25" ht="30.75" customHeight="1">
      <c r="A91" s="182"/>
      <c r="B91" s="183"/>
      <c r="C91" s="183"/>
      <c r="D91" s="183"/>
      <c r="E91" s="183"/>
      <c r="F91" s="183"/>
      <c r="G91" s="183"/>
      <c r="H91" s="183"/>
      <c r="I91" s="184"/>
      <c r="J91" s="185">
        <f>J57+J33+J44+J28+J14+J79</f>
        <v>605548000</v>
      </c>
      <c r="K91" s="185">
        <f>K57+K33+K44+K28+K14+K79+K85</f>
        <v>2632519000</v>
      </c>
      <c r="L91" s="185">
        <f>L57+L33+L44+L28+L14+L79</f>
        <v>2042121850</v>
      </c>
      <c r="M91" s="185">
        <f>M57+M33+M44+M28+M14+M79</f>
        <v>224421150</v>
      </c>
      <c r="N91" s="185">
        <f>J91+K91+L91+M91</f>
        <v>5504610000</v>
      </c>
      <c r="O91" s="185">
        <f>O79+O57+O44+O33+O28+O14</f>
        <v>655548000</v>
      </c>
      <c r="P91" s="185">
        <f>P85+P79+P57+P44+P33+P28+P14</f>
        <v>2327519000</v>
      </c>
      <c r="Q91" s="185">
        <f>Q57+Q44+Q33+Q28+Q14</f>
        <v>1602121850</v>
      </c>
      <c r="R91" s="185">
        <f>R85+R79+R57+R44+R33+R28+R14</f>
        <v>3193922950</v>
      </c>
      <c r="S91" s="185">
        <f>S85+S79+S57+S44+S33+S28+S14</f>
        <v>7816544300</v>
      </c>
      <c r="T91" s="185">
        <f>S91-N91</f>
        <v>2311934300</v>
      </c>
      <c r="U91" s="185"/>
      <c r="V91" s="441"/>
    </row>
    <row r="92" spans="1:25">
      <c r="A92" s="150"/>
      <c r="B92" s="151"/>
      <c r="C92" s="151"/>
      <c r="D92" s="151"/>
      <c r="E92" s="151"/>
      <c r="F92" s="151"/>
      <c r="G92" s="500"/>
      <c r="H92" s="501"/>
      <c r="I92" s="501"/>
      <c r="J92" s="504"/>
      <c r="K92" s="504"/>
      <c r="L92" s="504"/>
      <c r="M92" s="504"/>
      <c r="N92" s="504"/>
      <c r="O92" s="504"/>
      <c r="P92" s="504"/>
      <c r="Q92" s="504"/>
      <c r="R92" s="504"/>
      <c r="S92" s="504"/>
      <c r="T92" s="504"/>
      <c r="U92" s="502"/>
      <c r="V92" s="1014"/>
      <c r="Y92" s="78"/>
    </row>
    <row r="93" spans="1:25">
      <c r="A93" s="150" t="s">
        <v>105</v>
      </c>
      <c r="B93" s="151"/>
      <c r="C93" s="151"/>
      <c r="D93" s="151"/>
      <c r="E93" s="151"/>
      <c r="F93" s="151"/>
      <c r="G93" s="1036" t="s">
        <v>836</v>
      </c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  <c r="S93" s="1037"/>
      <c r="T93" s="1037"/>
      <c r="U93" s="1038"/>
      <c r="V93" s="1014"/>
      <c r="Y93" s="78"/>
    </row>
    <row r="94" spans="1:25">
      <c r="A94" s="150" t="s">
        <v>106</v>
      </c>
      <c r="B94" s="151"/>
      <c r="C94" s="151" t="s">
        <v>17</v>
      </c>
      <c r="D94" s="1087">
        <v>593373000</v>
      </c>
      <c r="E94" s="1087"/>
      <c r="F94" s="151"/>
      <c r="G94" s="1036" t="s">
        <v>585</v>
      </c>
      <c r="H94" s="1037"/>
      <c r="I94" s="1037"/>
      <c r="J94" s="1037"/>
      <c r="K94" s="1037"/>
      <c r="L94" s="1037"/>
      <c r="M94" s="1037"/>
      <c r="N94" s="1037"/>
      <c r="O94" s="1037"/>
      <c r="P94" s="1037"/>
      <c r="Q94" s="1037"/>
      <c r="R94" s="1037"/>
      <c r="S94" s="1037"/>
      <c r="T94" s="1037"/>
      <c r="U94" s="1038"/>
      <c r="V94" s="1014"/>
      <c r="W94" s="78">
        <f>2936109468-T91</f>
        <v>624175168</v>
      </c>
    </row>
    <row r="95" spans="1:25">
      <c r="A95" s="150" t="s">
        <v>107</v>
      </c>
      <c r="B95" s="151"/>
      <c r="C95" s="151" t="s">
        <v>17</v>
      </c>
      <c r="D95" s="1087">
        <v>4649694000</v>
      </c>
      <c r="E95" s="1087"/>
      <c r="F95" s="151"/>
      <c r="G95" s="1010"/>
      <c r="H95" s="1011"/>
      <c r="I95" s="1011"/>
      <c r="J95" s="1011"/>
      <c r="K95" s="1087"/>
      <c r="L95" s="1037"/>
      <c r="M95" s="1011"/>
      <c r="N95" s="1011"/>
      <c r="O95" s="1011"/>
      <c r="P95" s="1011"/>
      <c r="Q95" s="1011"/>
      <c r="R95" s="1011"/>
      <c r="S95" s="1011"/>
      <c r="T95" s="1011"/>
      <c r="U95" s="1012"/>
      <c r="V95" s="1011"/>
    </row>
    <row r="96" spans="1:25">
      <c r="A96" s="150" t="s">
        <v>108</v>
      </c>
      <c r="B96" s="151"/>
      <c r="C96" s="151" t="s">
        <v>17</v>
      </c>
      <c r="D96" s="1087">
        <v>4787121850</v>
      </c>
      <c r="E96" s="1087"/>
      <c r="F96" s="151"/>
      <c r="G96" s="1010"/>
      <c r="H96" s="1011"/>
      <c r="I96" s="1011"/>
      <c r="J96" s="1011"/>
      <c r="K96" s="1011"/>
      <c r="L96" s="1011"/>
      <c r="M96" s="1011"/>
      <c r="N96" s="1011"/>
      <c r="O96" s="1011"/>
      <c r="P96" s="1011"/>
      <c r="Q96" s="1011"/>
      <c r="R96" s="1011"/>
      <c r="S96" s="1011"/>
      <c r="T96" s="1011"/>
      <c r="U96" s="1012"/>
      <c r="V96" s="1011"/>
      <c r="Y96" s="78"/>
    </row>
    <row r="97" spans="1:25">
      <c r="A97" s="150" t="s">
        <v>109</v>
      </c>
      <c r="B97" s="151"/>
      <c r="C97" s="153" t="s">
        <v>17</v>
      </c>
      <c r="D97" s="1091">
        <v>474421150</v>
      </c>
      <c r="E97" s="1091"/>
      <c r="F97" s="151"/>
      <c r="G97" s="1010"/>
      <c r="H97" s="1011"/>
      <c r="I97" s="1011"/>
      <c r="J97" s="1011"/>
      <c r="K97" s="1011"/>
      <c r="L97" s="1011"/>
      <c r="M97" s="1011"/>
      <c r="N97" s="1011"/>
      <c r="O97" s="1011"/>
      <c r="P97" s="1011"/>
      <c r="Q97" s="1011"/>
      <c r="R97" s="1011"/>
      <c r="S97" s="1011"/>
      <c r="T97" s="1011"/>
      <c r="U97" s="1012"/>
      <c r="V97" s="1011"/>
    </row>
    <row r="98" spans="1:25">
      <c r="A98" s="1098" t="s">
        <v>110</v>
      </c>
      <c r="B98" s="1037"/>
      <c r="C98" s="153" t="s">
        <v>17</v>
      </c>
      <c r="D98" s="1099">
        <f>SUM(D94:E97)</f>
        <v>10504610000</v>
      </c>
      <c r="E98" s="1099"/>
      <c r="F98" s="151"/>
      <c r="G98" s="1095" t="s">
        <v>849</v>
      </c>
      <c r="H98" s="1096"/>
      <c r="I98" s="1096"/>
      <c r="J98" s="1096"/>
      <c r="K98" s="1096"/>
      <c r="L98" s="1096"/>
      <c r="M98" s="1096"/>
      <c r="N98" s="1096"/>
      <c r="O98" s="1096"/>
      <c r="P98" s="1096"/>
      <c r="Q98" s="1096"/>
      <c r="R98" s="1096"/>
      <c r="S98" s="1096"/>
      <c r="T98" s="1096"/>
      <c r="U98" s="1097"/>
      <c r="V98" s="1015"/>
      <c r="W98" s="78">
        <f>T85+T79+T57+T44+T33+T28+T14</f>
        <v>2311934300</v>
      </c>
    </row>
    <row r="99" spans="1:25">
      <c r="A99" s="150"/>
      <c r="B99" s="151"/>
      <c r="C99" s="151"/>
      <c r="D99" s="151"/>
      <c r="E99" s="151"/>
      <c r="F99" s="151"/>
      <c r="G99" s="1092" t="s">
        <v>850</v>
      </c>
      <c r="H99" s="1043"/>
      <c r="I99" s="1043"/>
      <c r="J99" s="1043"/>
      <c r="K99" s="1043"/>
      <c r="L99" s="1043"/>
      <c r="M99" s="1043"/>
      <c r="N99" s="1043"/>
      <c r="O99" s="1043"/>
      <c r="P99" s="1043"/>
      <c r="Q99" s="1043"/>
      <c r="R99" s="1043"/>
      <c r="S99" s="1043"/>
      <c r="T99" s="1043"/>
      <c r="U99" s="1093"/>
      <c r="V99" s="1011"/>
    </row>
    <row r="100" spans="1:25">
      <c r="A100" s="1054" t="s">
        <v>521</v>
      </c>
      <c r="B100" s="1055"/>
      <c r="C100" s="1055"/>
      <c r="D100" s="1055"/>
      <c r="E100" s="1055"/>
      <c r="F100" s="1052"/>
      <c r="G100" s="1094" t="s">
        <v>851</v>
      </c>
      <c r="H100" s="1040"/>
      <c r="I100" s="1040"/>
      <c r="J100" s="1040"/>
      <c r="K100" s="1040"/>
      <c r="L100" s="1040"/>
      <c r="M100" s="1040"/>
      <c r="N100" s="1040"/>
      <c r="O100" s="1040"/>
      <c r="P100" s="1040"/>
      <c r="Q100" s="1040"/>
      <c r="R100" s="1040"/>
      <c r="S100" s="1040"/>
      <c r="T100" s="1040"/>
      <c r="U100" s="1089"/>
      <c r="V100" s="1011"/>
      <c r="W100" s="78">
        <f>S91+4355194168</f>
        <v>12171738468</v>
      </c>
      <c r="Y100" t="s">
        <v>891</v>
      </c>
    </row>
    <row r="101" spans="1:25">
      <c r="A101" s="150"/>
      <c r="B101" s="151"/>
      <c r="C101" s="151"/>
      <c r="D101" s="151"/>
      <c r="E101" s="151"/>
      <c r="F101" s="151"/>
      <c r="G101" s="1036" t="s">
        <v>114</v>
      </c>
      <c r="H101" s="1037"/>
      <c r="I101" s="1037"/>
      <c r="J101" s="1037"/>
      <c r="K101" s="1037"/>
      <c r="L101" s="1037"/>
      <c r="M101" s="1037"/>
      <c r="N101" s="1037"/>
      <c r="O101" s="1037"/>
      <c r="P101" s="1037"/>
      <c r="Q101" s="1037"/>
      <c r="R101" s="1037"/>
      <c r="S101" s="1037"/>
      <c r="T101" s="1037"/>
      <c r="U101" s="1038"/>
      <c r="V101" s="1011"/>
    </row>
    <row r="102" spans="1:25">
      <c r="A102" s="157">
        <v>1</v>
      </c>
      <c r="B102" s="151" t="s">
        <v>460</v>
      </c>
      <c r="C102" s="151"/>
      <c r="D102" s="151" t="s">
        <v>523</v>
      </c>
      <c r="E102" s="1018"/>
      <c r="F102" s="151"/>
      <c r="G102" s="155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86"/>
      <c r="V102" s="435"/>
    </row>
    <row r="103" spans="1:25">
      <c r="A103" s="150"/>
      <c r="B103" s="151"/>
      <c r="C103" s="151"/>
      <c r="D103" s="151"/>
      <c r="E103" s="151"/>
      <c r="F103" s="151"/>
      <c r="G103" s="155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86"/>
      <c r="V103" s="435"/>
    </row>
    <row r="104" spans="1:25">
      <c r="A104" s="150">
        <v>2</v>
      </c>
      <c r="B104" s="151" t="s">
        <v>522</v>
      </c>
      <c r="C104" s="151"/>
      <c r="D104" s="151"/>
      <c r="E104" s="151" t="s">
        <v>524</v>
      </c>
      <c r="F104" s="1018"/>
      <c r="G104" s="155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86"/>
      <c r="V104" s="435"/>
    </row>
    <row r="105" spans="1:25">
      <c r="A105" s="150"/>
      <c r="B105" s="151"/>
      <c r="C105" s="151"/>
      <c r="D105" s="151"/>
      <c r="E105" s="151"/>
      <c r="F105" s="151"/>
      <c r="G105" s="1095" t="s">
        <v>839</v>
      </c>
      <c r="H105" s="1096"/>
      <c r="I105" s="1096"/>
      <c r="J105" s="1096"/>
      <c r="K105" s="1096"/>
      <c r="L105" s="1096"/>
      <c r="M105" s="1096"/>
      <c r="N105" s="1096"/>
      <c r="O105" s="1096"/>
      <c r="P105" s="1096"/>
      <c r="Q105" s="1096"/>
      <c r="R105" s="1096"/>
      <c r="S105" s="1096"/>
      <c r="T105" s="1096"/>
      <c r="U105" s="1097"/>
      <c r="V105" s="1015"/>
    </row>
    <row r="106" spans="1:25">
      <c r="A106" s="150"/>
      <c r="B106" s="151"/>
      <c r="C106" s="151"/>
      <c r="D106" s="151"/>
      <c r="E106" s="1018"/>
      <c r="F106" s="151"/>
      <c r="G106" s="1090" t="s">
        <v>840</v>
      </c>
      <c r="H106" s="1037"/>
      <c r="I106" s="1037"/>
      <c r="J106" s="1037"/>
      <c r="K106" s="1037"/>
      <c r="L106" s="1037"/>
      <c r="M106" s="1037"/>
      <c r="N106" s="1037"/>
      <c r="O106" s="1037"/>
      <c r="P106" s="1037"/>
      <c r="Q106" s="1037"/>
      <c r="R106" s="1037"/>
      <c r="S106" s="1037"/>
      <c r="T106" s="1037"/>
      <c r="U106" s="1038"/>
      <c r="V106" s="1011"/>
    </row>
    <row r="107" spans="1:25" ht="15.75" thickBot="1">
      <c r="A107" s="158"/>
      <c r="B107" s="159"/>
      <c r="C107" s="159"/>
      <c r="D107" s="159"/>
      <c r="E107" s="159"/>
      <c r="F107" s="159"/>
      <c r="G107" s="160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87"/>
      <c r="V107" s="435"/>
    </row>
    <row r="109" spans="1:25">
      <c r="N109" s="503">
        <f>10504610000-5000000000</f>
        <v>5504610000</v>
      </c>
    </row>
  </sheetData>
  <mergeCells count="106">
    <mergeCell ref="G99:U99"/>
    <mergeCell ref="A100:F100"/>
    <mergeCell ref="G100:U100"/>
    <mergeCell ref="G101:U101"/>
    <mergeCell ref="G105:U105"/>
    <mergeCell ref="G106:U106"/>
    <mergeCell ref="D95:E95"/>
    <mergeCell ref="K95:L95"/>
    <mergeCell ref="D96:E96"/>
    <mergeCell ref="D97:E97"/>
    <mergeCell ref="A98:B98"/>
    <mergeCell ref="D98:E98"/>
    <mergeCell ref="G98:U98"/>
    <mergeCell ref="C87:F87"/>
    <mergeCell ref="C88:E88"/>
    <mergeCell ref="C89:E89"/>
    <mergeCell ref="C90:F90"/>
    <mergeCell ref="G93:U93"/>
    <mergeCell ref="D94:E94"/>
    <mergeCell ref="G94:U94"/>
    <mergeCell ref="C81:F81"/>
    <mergeCell ref="C82:F82"/>
    <mergeCell ref="C83:F83"/>
    <mergeCell ref="C84:F84"/>
    <mergeCell ref="C85:F85"/>
    <mergeCell ref="C86:F86"/>
    <mergeCell ref="C77:F77"/>
    <mergeCell ref="C78:F78"/>
    <mergeCell ref="C79:F79"/>
    <mergeCell ref="A80:K80"/>
    <mergeCell ref="L80:O80"/>
    <mergeCell ref="P80:U80"/>
    <mergeCell ref="C71:F71"/>
    <mergeCell ref="C72:F72"/>
    <mergeCell ref="C73:F73"/>
    <mergeCell ref="C74:F74"/>
    <mergeCell ref="C75:F75"/>
    <mergeCell ref="C76:F76"/>
    <mergeCell ref="C65:F65"/>
    <mergeCell ref="C66:F66"/>
    <mergeCell ref="C67:F67"/>
    <mergeCell ref="C68:F68"/>
    <mergeCell ref="C69:F69"/>
    <mergeCell ref="C70:F70"/>
    <mergeCell ref="C59:F59"/>
    <mergeCell ref="C60:F60"/>
    <mergeCell ref="C61:F61"/>
    <mergeCell ref="C62:F62"/>
    <mergeCell ref="C63:F63"/>
    <mergeCell ref="C64:F64"/>
    <mergeCell ref="C53:F53"/>
    <mergeCell ref="C54:F54"/>
    <mergeCell ref="C55:E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3:F43"/>
    <mergeCell ref="C44:F44"/>
    <mergeCell ref="C45:F45"/>
    <mergeCell ref="A46:K46"/>
    <mergeCell ref="L46:O46"/>
    <mergeCell ref="P46:U46"/>
    <mergeCell ref="C37:F37"/>
    <mergeCell ref="C38:F38"/>
    <mergeCell ref="C39:F39"/>
    <mergeCell ref="C40:F40"/>
    <mergeCell ref="C41:F41"/>
    <mergeCell ref="C42:F42"/>
    <mergeCell ref="C31:F31"/>
    <mergeCell ref="C32:F32"/>
    <mergeCell ref="C33:F33"/>
    <mergeCell ref="C34:F34"/>
    <mergeCell ref="C35:F35"/>
    <mergeCell ref="C36:F36"/>
    <mergeCell ref="C25:F25"/>
    <mergeCell ref="C26:F26"/>
    <mergeCell ref="C27:F27"/>
    <mergeCell ref="C28:F28"/>
    <mergeCell ref="C29:F29"/>
    <mergeCell ref="C30:F30"/>
    <mergeCell ref="C20:F20"/>
    <mergeCell ref="C21:F21"/>
    <mergeCell ref="C22:F22"/>
    <mergeCell ref="C23:F23"/>
    <mergeCell ref="C24:F24"/>
    <mergeCell ref="C12:F12"/>
    <mergeCell ref="C14:F14"/>
    <mergeCell ref="C15:F15"/>
    <mergeCell ref="C16:F16"/>
    <mergeCell ref="C17:F17"/>
    <mergeCell ref="C18:F18"/>
    <mergeCell ref="A1:U4"/>
    <mergeCell ref="A7:U7"/>
    <mergeCell ref="A8:U8"/>
    <mergeCell ref="A9:B9"/>
    <mergeCell ref="C9:F9"/>
    <mergeCell ref="J9:M9"/>
    <mergeCell ref="O9:R9"/>
    <mergeCell ref="T9:U10"/>
    <mergeCell ref="C19:F19"/>
  </mergeCells>
  <printOptions horizontalCentered="1"/>
  <pageMargins left="0.261811024" right="0.511811023622047" top="0.511811023622047" bottom="0.511811023622047" header="0.31496062992126" footer="0.31496062992126"/>
  <pageSetup paperSize="5" scale="60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67"/>
  <sheetViews>
    <sheetView topLeftCell="B13" workbookViewId="0">
      <selection activeCell="X12" sqref="X12"/>
    </sheetView>
  </sheetViews>
  <sheetFormatPr defaultRowHeight="15"/>
  <cols>
    <col min="1" max="1" width="2.85546875" customWidth="1"/>
    <col min="2" max="2" width="4.140625" customWidth="1"/>
    <col min="3" max="3" width="3.42578125" customWidth="1"/>
    <col min="4" max="4" width="3.5703125" customWidth="1"/>
    <col min="5" max="5" width="2.5703125" customWidth="1"/>
    <col min="6" max="6" width="3.140625" customWidth="1"/>
    <col min="7" max="7" width="3.28515625" customWidth="1"/>
    <col min="8" max="8" width="0.5703125" customWidth="1"/>
    <col min="9" max="10" width="2.42578125" customWidth="1"/>
    <col min="12" max="12" width="5.7109375" customWidth="1"/>
    <col min="13" max="13" width="6.140625" customWidth="1"/>
    <col min="15" max="15" width="7.85546875" customWidth="1"/>
    <col min="17" max="17" width="7.140625" customWidth="1"/>
    <col min="18" max="18" width="7.7109375" customWidth="1"/>
    <col min="19" max="19" width="6.140625" customWidth="1"/>
    <col min="20" max="20" width="8.28515625" customWidth="1"/>
    <col min="21" max="21" width="7.85546875" customWidth="1"/>
    <col min="22" max="22" width="8.140625" customWidth="1"/>
    <col min="25" max="25" width="21.42578125" customWidth="1"/>
    <col min="26" max="26" width="16.28515625" customWidth="1"/>
    <col min="27" max="27" width="4" customWidth="1"/>
  </cols>
  <sheetData>
    <row r="1" spans="1:26">
      <c r="A1" s="1161" t="s">
        <v>0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3"/>
      <c r="U1" s="1167" t="s">
        <v>1</v>
      </c>
      <c r="V1" s="1168"/>
    </row>
    <row r="2" spans="1:26">
      <c r="A2" s="1164"/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165"/>
      <c r="R2" s="1165"/>
      <c r="S2" s="1165"/>
      <c r="T2" s="1166"/>
      <c r="U2" s="195"/>
      <c r="V2" s="2"/>
      <c r="Z2" s="78"/>
    </row>
    <row r="3" spans="1:26">
      <c r="A3" s="1169" t="s">
        <v>2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  <c r="N3" s="1170"/>
      <c r="O3" s="1170"/>
      <c r="P3" s="1170"/>
      <c r="Q3" s="1170"/>
      <c r="R3" s="1170"/>
      <c r="S3" s="1170"/>
      <c r="T3" s="1171"/>
      <c r="U3" s="1147" t="s">
        <v>3</v>
      </c>
      <c r="V3" s="1149"/>
      <c r="Z3" s="78"/>
    </row>
    <row r="4" spans="1:26">
      <c r="A4" s="1172"/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3"/>
      <c r="P4" s="1173"/>
      <c r="Q4" s="1173"/>
      <c r="R4" s="1173"/>
      <c r="S4" s="1173"/>
      <c r="T4" s="1174"/>
      <c r="U4" s="3"/>
      <c r="V4" s="4"/>
      <c r="Z4" s="78"/>
    </row>
    <row r="5" spans="1:26">
      <c r="A5" s="1139" t="s">
        <v>4</v>
      </c>
      <c r="B5" s="1140"/>
      <c r="C5" s="1140"/>
      <c r="D5" s="1140"/>
      <c r="E5" s="1140"/>
      <c r="F5" s="1140"/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1140"/>
      <c r="R5" s="1140"/>
      <c r="S5" s="1140"/>
      <c r="T5" s="1140"/>
      <c r="U5" s="1140"/>
      <c r="V5" s="1141"/>
      <c r="Z5" s="78"/>
    </row>
    <row r="6" spans="1:26">
      <c r="A6" s="1142" t="s">
        <v>527</v>
      </c>
      <c r="B6" s="1143"/>
      <c r="C6" s="1143"/>
      <c r="D6" s="1143"/>
      <c r="E6" s="1143"/>
      <c r="F6" s="1143"/>
      <c r="G6" s="1143"/>
      <c r="H6" s="1143"/>
      <c r="I6" s="1143"/>
      <c r="J6" s="1143"/>
      <c r="K6" s="1143"/>
      <c r="L6" s="1143"/>
      <c r="M6" s="1143"/>
      <c r="N6" s="1143"/>
      <c r="O6" s="1143"/>
      <c r="P6" s="1143"/>
      <c r="Q6" s="1143"/>
      <c r="R6" s="1143"/>
      <c r="S6" s="1143"/>
      <c r="T6" s="1143"/>
      <c r="U6" s="1143"/>
      <c r="V6" s="1144"/>
    </row>
    <row r="7" spans="1:26">
      <c r="A7" s="5" t="s">
        <v>5</v>
      </c>
      <c r="B7" s="195"/>
      <c r="C7" s="195"/>
      <c r="D7" s="195"/>
      <c r="E7" s="195"/>
      <c r="F7" s="195"/>
      <c r="G7" s="195"/>
      <c r="H7" s="195"/>
      <c r="I7" s="195" t="s">
        <v>6</v>
      </c>
      <c r="J7" s="195" t="s">
        <v>528</v>
      </c>
      <c r="K7" s="195"/>
      <c r="L7" s="195"/>
      <c r="M7" s="195" t="s">
        <v>8</v>
      </c>
      <c r="N7" s="195"/>
      <c r="O7" s="195"/>
      <c r="P7" s="195"/>
      <c r="Q7" s="195"/>
      <c r="R7" s="195"/>
      <c r="S7" s="195"/>
      <c r="T7" s="195"/>
      <c r="U7" s="195"/>
      <c r="V7" s="2"/>
    </row>
    <row r="8" spans="1:26">
      <c r="A8" s="5" t="s">
        <v>9</v>
      </c>
      <c r="B8" s="195"/>
      <c r="C8" s="195"/>
      <c r="D8" s="195"/>
      <c r="E8" s="195"/>
      <c r="F8" s="195"/>
      <c r="G8" s="195"/>
      <c r="H8" s="195"/>
      <c r="I8" s="195" t="s">
        <v>6</v>
      </c>
      <c r="J8" s="6" t="s">
        <v>539</v>
      </c>
      <c r="K8" s="6"/>
      <c r="L8" s="195"/>
      <c r="M8" s="195" t="s">
        <v>11</v>
      </c>
      <c r="N8" s="195"/>
      <c r="O8" s="195"/>
      <c r="P8" s="195"/>
      <c r="Q8" s="195"/>
      <c r="R8" s="195"/>
      <c r="S8" s="195"/>
      <c r="T8" s="195"/>
      <c r="U8" s="195"/>
      <c r="V8" s="2"/>
    </row>
    <row r="9" spans="1:26">
      <c r="A9" s="1139" t="s">
        <v>12</v>
      </c>
      <c r="B9" s="1140"/>
      <c r="C9" s="1140"/>
      <c r="D9" s="1140"/>
      <c r="E9" s="1140"/>
      <c r="F9" s="1140"/>
      <c r="G9" s="1140"/>
      <c r="H9" s="1140"/>
      <c r="I9" s="1140"/>
      <c r="J9" s="1140"/>
      <c r="K9" s="1140"/>
      <c r="L9" s="1140"/>
      <c r="M9" s="1140"/>
      <c r="N9" s="1140"/>
      <c r="O9" s="1140"/>
      <c r="P9" s="1140"/>
      <c r="Q9" s="1140"/>
      <c r="R9" s="1140"/>
      <c r="S9" s="1140"/>
      <c r="T9" s="1140"/>
      <c r="U9" s="1140"/>
      <c r="V9" s="1141"/>
    </row>
    <row r="10" spans="1:26">
      <c r="A10" s="1142" t="s">
        <v>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43"/>
      <c r="U10" s="1143"/>
      <c r="V10" s="1144"/>
      <c r="Y10" s="376">
        <f>2650597000+1855908000+289292000+229000000+89271000+152953000+34007000+166000+894772000+185650000</f>
        <v>6381616000</v>
      </c>
    </row>
    <row r="11" spans="1:26">
      <c r="A11" s="1145" t="s">
        <v>13</v>
      </c>
      <c r="B11" s="1146"/>
      <c r="C11" s="1146"/>
      <c r="D11" s="1146"/>
      <c r="E11" s="1146"/>
      <c r="F11" s="1146"/>
      <c r="G11" s="1146"/>
      <c r="H11" s="1146"/>
      <c r="I11" s="1146"/>
      <c r="J11" s="1146"/>
      <c r="K11" s="1147" t="s">
        <v>14</v>
      </c>
      <c r="L11" s="1146"/>
      <c r="M11" s="1146"/>
      <c r="N11" s="1146"/>
      <c r="O11" s="1146"/>
      <c r="P11" s="1146"/>
      <c r="Q11" s="1146"/>
      <c r="R11" s="1146"/>
      <c r="S11" s="1148"/>
      <c r="T11" s="1147" t="s">
        <v>15</v>
      </c>
      <c r="U11" s="1146"/>
      <c r="V11" s="1149"/>
    </row>
    <row r="12" spans="1:26">
      <c r="A12" s="1145" t="s">
        <v>16</v>
      </c>
      <c r="B12" s="1146"/>
      <c r="C12" s="1146"/>
      <c r="D12" s="1146"/>
      <c r="E12" s="1146"/>
      <c r="F12" s="1146"/>
      <c r="G12" s="1146"/>
      <c r="H12" s="1146"/>
      <c r="I12" s="1146"/>
      <c r="J12" s="1146"/>
      <c r="K12" s="7"/>
      <c r="L12" s="8"/>
      <c r="M12" s="8"/>
      <c r="N12" s="8"/>
      <c r="O12" s="8"/>
      <c r="P12" s="8"/>
      <c r="Q12" s="8"/>
      <c r="R12" s="8"/>
      <c r="S12" s="9"/>
      <c r="T12" s="1147" t="s">
        <v>17</v>
      </c>
      <c r="U12" s="1146"/>
      <c r="V12" s="1149"/>
      <c r="Y12" s="78">
        <f>3731019000+10554610000</f>
        <v>14285629000</v>
      </c>
    </row>
    <row r="13" spans="1:26">
      <c r="A13" s="1150">
        <v>1</v>
      </c>
      <c r="B13" s="1151"/>
      <c r="C13" s="1151"/>
      <c r="D13" s="1151"/>
      <c r="E13" s="1151"/>
      <c r="F13" s="1151"/>
      <c r="G13" s="1151"/>
      <c r="H13" s="1151"/>
      <c r="I13" s="1151"/>
      <c r="J13" s="1152"/>
      <c r="K13" s="1153">
        <v>2</v>
      </c>
      <c r="L13" s="1151"/>
      <c r="M13" s="1151"/>
      <c r="N13" s="1151"/>
      <c r="O13" s="1151"/>
      <c r="P13" s="1151"/>
      <c r="Q13" s="1151"/>
      <c r="R13" s="1151"/>
      <c r="S13" s="1152"/>
      <c r="T13" s="1153">
        <v>6</v>
      </c>
      <c r="U13" s="1151"/>
      <c r="V13" s="1154"/>
    </row>
    <row r="14" spans="1:26">
      <c r="A14" s="1155"/>
      <c r="B14" s="1156"/>
      <c r="C14" s="1156"/>
      <c r="D14" s="1156"/>
      <c r="E14" s="1156"/>
      <c r="F14" s="1156"/>
      <c r="G14" s="1156"/>
      <c r="H14" s="1156"/>
      <c r="I14" s="1156"/>
      <c r="J14" s="1157"/>
      <c r="K14" s="10"/>
      <c r="L14" s="11"/>
      <c r="M14" s="11"/>
      <c r="N14" s="11"/>
      <c r="O14" s="11"/>
      <c r="P14" s="11"/>
      <c r="Q14" s="11"/>
      <c r="R14" s="12"/>
      <c r="S14" s="12"/>
      <c r="T14" s="1158"/>
      <c r="U14" s="1159"/>
      <c r="V14" s="1160"/>
      <c r="Y14" s="79">
        <f>T21+10554610000</f>
        <v>14285629000</v>
      </c>
    </row>
    <row r="15" spans="1:26">
      <c r="A15" s="13" t="s">
        <v>540</v>
      </c>
      <c r="B15" s="14"/>
      <c r="C15" s="15"/>
      <c r="D15" s="14"/>
      <c r="E15" s="14"/>
      <c r="F15" s="15"/>
      <c r="G15" s="15"/>
      <c r="H15" s="15"/>
      <c r="I15" s="16"/>
      <c r="J15" s="17"/>
      <c r="K15" s="10" t="s">
        <v>541</v>
      </c>
      <c r="L15" s="11"/>
      <c r="M15" s="11"/>
      <c r="N15" s="11"/>
      <c r="O15" s="11"/>
      <c r="P15" s="11"/>
      <c r="Q15" s="11"/>
      <c r="R15" s="12"/>
      <c r="S15" s="12"/>
      <c r="T15" s="1111">
        <v>3713000000</v>
      </c>
      <c r="U15" s="1128"/>
      <c r="V15" s="1129"/>
    </row>
    <row r="16" spans="1:26">
      <c r="A16" s="13" t="s">
        <v>542</v>
      </c>
      <c r="B16" s="14"/>
      <c r="C16" s="15"/>
      <c r="D16" s="14"/>
      <c r="E16" s="14"/>
      <c r="F16" s="15"/>
      <c r="G16" s="15"/>
      <c r="H16" s="15"/>
      <c r="I16" s="16"/>
      <c r="J16" s="17"/>
      <c r="K16" s="10" t="s">
        <v>543</v>
      </c>
      <c r="L16" s="11"/>
      <c r="M16" s="11"/>
      <c r="N16" s="11"/>
      <c r="O16" s="11"/>
      <c r="P16" s="11"/>
      <c r="Q16" s="11"/>
      <c r="R16" s="12"/>
      <c r="S16" s="12"/>
      <c r="T16" s="1111">
        <f>T15</f>
        <v>3713000000</v>
      </c>
      <c r="U16" s="1128"/>
      <c r="V16" s="1129"/>
    </row>
    <row r="17" spans="1:25">
      <c r="A17" s="13" t="s">
        <v>544</v>
      </c>
      <c r="B17" s="14"/>
      <c r="C17" s="15"/>
      <c r="D17" s="14"/>
      <c r="E17" s="14"/>
      <c r="F17" s="15"/>
      <c r="G17" s="15"/>
      <c r="H17" s="15"/>
      <c r="I17" s="16"/>
      <c r="J17" s="17"/>
      <c r="K17" s="10" t="s">
        <v>545</v>
      </c>
      <c r="L17" s="11"/>
      <c r="M17" s="11"/>
      <c r="N17" s="11"/>
      <c r="O17" s="11"/>
      <c r="P17" s="11"/>
      <c r="Q17" s="11"/>
      <c r="R17" s="12"/>
      <c r="S17" s="12"/>
      <c r="T17" s="1111">
        <f>T16</f>
        <v>3713000000</v>
      </c>
      <c r="U17" s="1128"/>
      <c r="V17" s="1129"/>
    </row>
    <row r="18" spans="1:25">
      <c r="A18" s="13" t="s">
        <v>546</v>
      </c>
      <c r="B18" s="14"/>
      <c r="C18" s="15"/>
      <c r="D18" s="14"/>
      <c r="E18" s="14"/>
      <c r="F18" s="15"/>
      <c r="G18" s="15"/>
      <c r="H18" s="15"/>
      <c r="I18" s="16"/>
      <c r="J18" s="17"/>
      <c r="K18" s="10" t="s">
        <v>547</v>
      </c>
      <c r="L18" s="11"/>
      <c r="M18" s="11"/>
      <c r="N18" s="11"/>
      <c r="O18" s="11"/>
      <c r="P18" s="11"/>
      <c r="Q18" s="11"/>
      <c r="R18" s="12"/>
      <c r="S18" s="12"/>
      <c r="T18" s="1111">
        <f>T17</f>
        <v>3713000000</v>
      </c>
      <c r="U18" s="1128"/>
      <c r="V18" s="1129"/>
    </row>
    <row r="19" spans="1:25">
      <c r="A19" s="13"/>
      <c r="B19" s="14"/>
      <c r="C19" s="15"/>
      <c r="D19" s="14"/>
      <c r="E19" s="14"/>
      <c r="F19" s="15"/>
      <c r="G19" s="15"/>
      <c r="H19" s="15"/>
      <c r="I19" s="16"/>
      <c r="J19" s="17"/>
      <c r="K19" s="10"/>
      <c r="L19" s="11"/>
      <c r="M19" s="11"/>
      <c r="N19" s="11"/>
      <c r="O19" s="11"/>
      <c r="P19" s="11"/>
      <c r="Q19" s="11"/>
      <c r="R19" s="12"/>
      <c r="S19" s="12"/>
      <c r="T19" s="467"/>
      <c r="U19" s="468"/>
      <c r="V19" s="469"/>
      <c r="Y19" s="79">
        <f>T24-10554610000</f>
        <v>50000000</v>
      </c>
    </row>
    <row r="20" spans="1:25">
      <c r="A20" s="1109" t="s">
        <v>548</v>
      </c>
      <c r="B20" s="1105"/>
      <c r="C20" s="1105"/>
      <c r="D20" s="1105"/>
      <c r="E20" s="1105"/>
      <c r="F20" s="1105"/>
      <c r="G20" s="1105"/>
      <c r="H20" s="1105"/>
      <c r="I20" s="1105"/>
      <c r="J20" s="1110"/>
      <c r="K20" s="10" t="s">
        <v>551</v>
      </c>
      <c r="L20" s="11"/>
      <c r="M20" s="11"/>
      <c r="N20" s="11"/>
      <c r="O20" s="11"/>
      <c r="P20" s="11"/>
      <c r="Q20" s="11"/>
      <c r="R20" s="12"/>
      <c r="S20" s="12"/>
      <c r="T20" s="1175">
        <f>T21+T24</f>
        <v>14335629000</v>
      </c>
      <c r="U20" s="1176"/>
      <c r="V20" s="1177"/>
    </row>
    <row r="21" spans="1:25">
      <c r="A21" s="1109" t="s">
        <v>549</v>
      </c>
      <c r="B21" s="1105"/>
      <c r="C21" s="1105"/>
      <c r="D21" s="1105"/>
      <c r="E21" s="1105"/>
      <c r="F21" s="1105"/>
      <c r="G21" s="1105"/>
      <c r="H21" s="1105"/>
      <c r="I21" s="1105"/>
      <c r="J21" s="1110"/>
      <c r="K21" s="10" t="s">
        <v>20</v>
      </c>
      <c r="L21" s="11"/>
      <c r="M21" s="11"/>
      <c r="N21" s="11"/>
      <c r="O21" s="11"/>
      <c r="P21" s="11"/>
      <c r="Q21" s="11"/>
      <c r="R21" s="12"/>
      <c r="S21" s="12"/>
      <c r="T21" s="1111">
        <v>3731019000</v>
      </c>
      <c r="U21" s="1128"/>
      <c r="V21" s="1129"/>
    </row>
    <row r="22" spans="1:25">
      <c r="A22" s="1109" t="s">
        <v>550</v>
      </c>
      <c r="B22" s="1105"/>
      <c r="C22" s="1105"/>
      <c r="D22" s="1105"/>
      <c r="E22" s="1105"/>
      <c r="F22" s="1105"/>
      <c r="G22" s="1105"/>
      <c r="H22" s="1105"/>
      <c r="I22" s="1105"/>
      <c r="J22" s="1110"/>
      <c r="K22" s="10" t="s">
        <v>22</v>
      </c>
      <c r="L22" s="11"/>
      <c r="M22" s="11"/>
      <c r="N22" s="11"/>
      <c r="O22" s="11"/>
      <c r="P22" s="11"/>
      <c r="Q22" s="11"/>
      <c r="R22" s="12"/>
      <c r="S22" s="12"/>
      <c r="T22" s="1111">
        <f>T21</f>
        <v>3731019000</v>
      </c>
      <c r="U22" s="1128"/>
      <c r="V22" s="1129"/>
    </row>
    <row r="23" spans="1:25">
      <c r="A23" s="13"/>
      <c r="B23" s="11"/>
      <c r="C23" s="11"/>
      <c r="D23" s="11"/>
      <c r="E23" s="11"/>
      <c r="F23" s="11"/>
      <c r="G23" s="11"/>
      <c r="H23" s="11"/>
      <c r="I23" s="11"/>
      <c r="J23" s="18"/>
      <c r="K23" s="19"/>
      <c r="L23" s="11"/>
      <c r="M23" s="11"/>
      <c r="N23" s="11"/>
      <c r="O23" s="11"/>
      <c r="P23" s="11"/>
      <c r="Q23" s="11"/>
      <c r="R23" s="12"/>
      <c r="S23" s="12"/>
      <c r="T23" s="1111"/>
      <c r="U23" s="1128"/>
      <c r="V23" s="1129"/>
    </row>
    <row r="24" spans="1:25">
      <c r="A24" s="1109" t="s">
        <v>552</v>
      </c>
      <c r="B24" s="1105"/>
      <c r="C24" s="1105"/>
      <c r="D24" s="1105"/>
      <c r="E24" s="1105"/>
      <c r="F24" s="1105"/>
      <c r="G24" s="1105"/>
      <c r="H24" s="1105"/>
      <c r="I24" s="1105"/>
      <c r="J24" s="1110"/>
      <c r="K24" s="10" t="s">
        <v>23</v>
      </c>
      <c r="L24" s="11"/>
      <c r="M24" s="11"/>
      <c r="N24" s="11"/>
      <c r="O24" s="11"/>
      <c r="P24" s="11"/>
      <c r="Q24" s="11"/>
      <c r="R24" s="12"/>
      <c r="S24" s="12"/>
      <c r="T24" s="1175">
        <f>T25+T26+T27</f>
        <v>10604610000</v>
      </c>
      <c r="U24" s="1176"/>
      <c r="V24" s="1177"/>
    </row>
    <row r="25" spans="1:25">
      <c r="A25" s="1109" t="s">
        <v>767</v>
      </c>
      <c r="B25" s="1105"/>
      <c r="C25" s="1105"/>
      <c r="D25" s="1105"/>
      <c r="E25" s="1105"/>
      <c r="F25" s="1105"/>
      <c r="G25" s="1105"/>
      <c r="H25" s="1105"/>
      <c r="I25" s="1105"/>
      <c r="J25" s="1110"/>
      <c r="K25" s="10" t="s">
        <v>22</v>
      </c>
      <c r="L25" s="11"/>
      <c r="M25" s="11"/>
      <c r="N25" s="11"/>
      <c r="O25" s="11"/>
      <c r="P25" s="11"/>
      <c r="Q25" s="11"/>
      <c r="R25" s="12"/>
      <c r="S25" s="12"/>
      <c r="T25" s="1111">
        <v>324590000</v>
      </c>
      <c r="U25" s="1128"/>
      <c r="V25" s="1129"/>
      <c r="Y25" s="79">
        <f>T24-1320544150</f>
        <v>9284065850</v>
      </c>
    </row>
    <row r="26" spans="1:25">
      <c r="A26" s="1109" t="s">
        <v>553</v>
      </c>
      <c r="B26" s="1105"/>
      <c r="C26" s="1105"/>
      <c r="D26" s="1105"/>
      <c r="E26" s="1105"/>
      <c r="F26" s="1105"/>
      <c r="G26" s="1105"/>
      <c r="H26" s="1105"/>
      <c r="I26" s="1105"/>
      <c r="J26" s="1110"/>
      <c r="K26" s="10" t="s">
        <v>24</v>
      </c>
      <c r="L26" s="11"/>
      <c r="M26" s="11"/>
      <c r="N26" s="11"/>
      <c r="O26" s="11"/>
      <c r="P26" s="11"/>
      <c r="Q26" s="11"/>
      <c r="R26" s="12"/>
      <c r="S26" s="12"/>
      <c r="T26" s="1111">
        <v>2744550000</v>
      </c>
      <c r="U26" s="1128"/>
      <c r="V26" s="1129"/>
    </row>
    <row r="27" spans="1:25">
      <c r="A27" s="1109" t="s">
        <v>25</v>
      </c>
      <c r="B27" s="1105"/>
      <c r="C27" s="1105"/>
      <c r="D27" s="1105"/>
      <c r="E27" s="1105"/>
      <c r="F27" s="1105"/>
      <c r="G27" s="1105"/>
      <c r="H27" s="1105"/>
      <c r="I27" s="1105"/>
      <c r="J27" s="1110"/>
      <c r="K27" s="10" t="s">
        <v>26</v>
      </c>
      <c r="L27" s="11"/>
      <c r="M27" s="11"/>
      <c r="N27" s="11"/>
      <c r="O27" s="11"/>
      <c r="P27" s="11"/>
      <c r="Q27" s="11"/>
      <c r="R27" s="12"/>
      <c r="S27" s="12"/>
      <c r="T27" s="1111">
        <v>7535470000</v>
      </c>
      <c r="U27" s="1128"/>
      <c r="V27" s="1129"/>
      <c r="Y27" s="79">
        <f>T25+T26</f>
        <v>3069140000</v>
      </c>
    </row>
    <row r="28" spans="1:25">
      <c r="A28" s="13"/>
      <c r="B28" s="14"/>
      <c r="C28" s="15"/>
      <c r="D28" s="14"/>
      <c r="E28" s="14"/>
      <c r="F28" s="15"/>
      <c r="G28" s="15"/>
      <c r="H28" s="15"/>
      <c r="I28" s="16"/>
      <c r="J28" s="17"/>
      <c r="K28" s="10"/>
      <c r="L28" s="11"/>
      <c r="M28" s="11"/>
      <c r="N28" s="11"/>
      <c r="O28" s="11"/>
      <c r="P28" s="11"/>
      <c r="Q28" s="11"/>
      <c r="R28" s="12"/>
      <c r="S28" s="12"/>
      <c r="T28" s="1111"/>
      <c r="U28" s="1128"/>
      <c r="V28" s="1129"/>
      <c r="Y28" s="79">
        <f>T27+Y27</f>
        <v>10604610000</v>
      </c>
    </row>
    <row r="29" spans="1:25">
      <c r="A29" s="13"/>
      <c r="B29" s="11"/>
      <c r="C29" s="11"/>
      <c r="D29" s="11"/>
      <c r="E29" s="11"/>
      <c r="F29" s="11"/>
      <c r="G29" s="11"/>
      <c r="H29" s="11"/>
      <c r="I29" s="11"/>
      <c r="J29" s="18"/>
      <c r="K29" s="10"/>
      <c r="L29" s="11"/>
      <c r="M29" s="11"/>
      <c r="N29" s="11"/>
      <c r="O29" s="11"/>
      <c r="P29" s="11"/>
      <c r="Q29" s="11"/>
      <c r="R29" s="12"/>
      <c r="S29" s="12"/>
      <c r="T29" s="1111"/>
      <c r="U29" s="1128"/>
      <c r="V29" s="1129"/>
    </row>
    <row r="30" spans="1:25">
      <c r="A30" s="13"/>
      <c r="B30" s="11"/>
      <c r="C30" s="11"/>
      <c r="D30" s="11"/>
      <c r="E30" s="11"/>
      <c r="F30" s="11"/>
      <c r="G30" s="11"/>
      <c r="H30" s="11"/>
      <c r="I30" s="11"/>
      <c r="J30" s="18"/>
      <c r="K30" s="10"/>
      <c r="L30" s="11"/>
      <c r="M30" s="11"/>
      <c r="N30" s="11"/>
      <c r="O30" s="11"/>
      <c r="P30" s="11"/>
      <c r="Q30" s="11"/>
      <c r="R30" s="12"/>
      <c r="S30" s="12"/>
      <c r="T30" s="1111"/>
      <c r="U30" s="1128"/>
      <c r="V30" s="1129"/>
    </row>
    <row r="31" spans="1:25">
      <c r="A31" s="1121" t="s">
        <v>27</v>
      </c>
      <c r="B31" s="1122"/>
      <c r="C31" s="1122"/>
      <c r="D31" s="1122"/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2"/>
      <c r="T31" s="1130">
        <f>T14-T20</f>
        <v>-14335629000</v>
      </c>
      <c r="U31" s="1131"/>
      <c r="V31" s="1132"/>
    </row>
    <row r="32" spans="1:25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20"/>
    </row>
    <row r="33" spans="1:29">
      <c r="A33" s="1123" t="s">
        <v>28</v>
      </c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7"/>
    </row>
    <row r="34" spans="1:29">
      <c r="A34" s="1133" t="s">
        <v>29</v>
      </c>
      <c r="B34" s="1134"/>
      <c r="C34" s="1134"/>
      <c r="D34" s="1134"/>
      <c r="E34" s="1134"/>
      <c r="F34" s="1134"/>
      <c r="G34" s="1134"/>
      <c r="H34" s="1134"/>
      <c r="I34" s="1134"/>
      <c r="J34" s="1134"/>
      <c r="K34" s="1134"/>
      <c r="L34" s="1134"/>
      <c r="M34" s="1134"/>
      <c r="N34" s="1134"/>
      <c r="O34" s="1134"/>
      <c r="P34" s="1134"/>
      <c r="Q34" s="1134"/>
      <c r="R34" s="1134"/>
      <c r="S34" s="1134"/>
      <c r="T34" s="1134"/>
      <c r="U34" s="1134"/>
      <c r="V34" s="1135"/>
      <c r="Y34" s="150"/>
      <c r="Z34" s="151"/>
      <c r="AA34" s="151"/>
      <c r="AB34" s="1087"/>
      <c r="AC34" s="1087"/>
    </row>
    <row r="35" spans="1:29">
      <c r="A35" s="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20"/>
      <c r="Y35" s="150"/>
      <c r="Z35" s="151"/>
      <c r="AA35" s="151"/>
      <c r="AB35" s="1087"/>
      <c r="AC35" s="1087"/>
    </row>
    <row r="36" spans="1:29">
      <c r="A36" s="1123" t="s">
        <v>30</v>
      </c>
      <c r="B36" s="1124"/>
      <c r="C36" s="1124"/>
      <c r="D36" s="1124"/>
      <c r="E36" s="1124"/>
      <c r="F36" s="1124"/>
      <c r="G36" s="1124"/>
      <c r="H36" s="1125"/>
      <c r="I36" s="1126" t="s">
        <v>14</v>
      </c>
      <c r="J36" s="1124"/>
      <c r="K36" s="1124"/>
      <c r="L36" s="1125"/>
      <c r="M36" s="1115" t="s">
        <v>31</v>
      </c>
      <c r="N36" s="1122"/>
      <c r="O36" s="1122"/>
      <c r="P36" s="1122"/>
      <c r="Q36" s="1122"/>
      <c r="R36" s="1122"/>
      <c r="S36" s="1122"/>
      <c r="T36" s="1122"/>
      <c r="U36" s="1126" t="s">
        <v>15</v>
      </c>
      <c r="V36" s="1127"/>
      <c r="Y36" s="150"/>
      <c r="Z36" s="151"/>
      <c r="AA36" s="151"/>
      <c r="AB36" s="1087"/>
      <c r="AC36" s="1087"/>
    </row>
    <row r="37" spans="1:29">
      <c r="A37" s="21"/>
      <c r="B37" s="22"/>
      <c r="C37" s="22"/>
      <c r="D37" s="22"/>
      <c r="E37" s="22"/>
      <c r="F37" s="22"/>
      <c r="G37" s="22"/>
      <c r="H37" s="23"/>
      <c r="I37" s="24"/>
      <c r="J37" s="22"/>
      <c r="K37" s="22"/>
      <c r="L37" s="23"/>
      <c r="M37" s="1115" t="s">
        <v>32</v>
      </c>
      <c r="N37" s="1120"/>
      <c r="O37" s="1115" t="s">
        <v>33</v>
      </c>
      <c r="P37" s="1120"/>
      <c r="Q37" s="1115" t="s">
        <v>34</v>
      </c>
      <c r="R37" s="1120"/>
      <c r="S37" s="1115" t="s">
        <v>35</v>
      </c>
      <c r="T37" s="1120"/>
      <c r="U37" s="25"/>
      <c r="V37" s="26"/>
      <c r="Y37" s="150"/>
      <c r="Z37" s="151"/>
      <c r="AA37" s="153"/>
      <c r="AB37" s="1091"/>
      <c r="AC37" s="1091"/>
    </row>
    <row r="38" spans="1:29">
      <c r="A38" s="1121">
        <v>1</v>
      </c>
      <c r="B38" s="1122"/>
      <c r="C38" s="1122"/>
      <c r="D38" s="1122"/>
      <c r="E38" s="1122"/>
      <c r="F38" s="1122"/>
      <c r="G38" s="1122"/>
      <c r="H38" s="1120"/>
      <c r="I38" s="1122">
        <v>2</v>
      </c>
      <c r="J38" s="1122"/>
      <c r="K38" s="1122"/>
      <c r="L38" s="1120"/>
      <c r="M38" s="1115">
        <v>3</v>
      </c>
      <c r="N38" s="1120"/>
      <c r="O38" s="1115">
        <v>4</v>
      </c>
      <c r="P38" s="1120"/>
      <c r="Q38" s="1115">
        <v>5</v>
      </c>
      <c r="R38" s="1120"/>
      <c r="S38" s="1115">
        <v>6</v>
      </c>
      <c r="T38" s="1120"/>
      <c r="U38" s="1115" t="s">
        <v>36</v>
      </c>
      <c r="V38" s="1116"/>
    </row>
    <row r="39" spans="1:29">
      <c r="A39" s="470"/>
      <c r="B39" s="471"/>
      <c r="C39" s="471"/>
      <c r="D39" s="471"/>
      <c r="E39" s="471"/>
      <c r="F39" s="471"/>
      <c r="G39" s="471"/>
      <c r="H39" s="476"/>
      <c r="I39" s="475"/>
      <c r="J39" s="475"/>
      <c r="K39" s="475"/>
      <c r="L39" s="475"/>
      <c r="M39" s="473"/>
      <c r="N39" s="472"/>
      <c r="O39" s="475"/>
      <c r="P39" s="475"/>
      <c r="Q39" s="473"/>
      <c r="R39" s="472"/>
      <c r="S39" s="475"/>
      <c r="T39" s="475"/>
      <c r="U39" s="474"/>
      <c r="V39" s="477"/>
    </row>
    <row r="40" spans="1:29">
      <c r="A40" s="1109" t="s">
        <v>542</v>
      </c>
      <c r="B40" s="1105"/>
      <c r="C40" s="1105"/>
      <c r="D40" s="1105"/>
      <c r="E40" s="1105"/>
      <c r="F40" s="1105"/>
      <c r="G40" s="1105"/>
      <c r="H40" s="18"/>
      <c r="I40" s="1117" t="s">
        <v>816</v>
      </c>
      <c r="J40" s="1100"/>
      <c r="K40" s="1100"/>
      <c r="L40" s="1118"/>
      <c r="M40" s="1178">
        <v>928250000</v>
      </c>
      <c r="N40" s="1179"/>
      <c r="O40" s="1178">
        <f>M40</f>
        <v>928250000</v>
      </c>
      <c r="P40" s="1179"/>
      <c r="Q40" s="1178">
        <f>O40</f>
        <v>928250000</v>
      </c>
      <c r="R40" s="1179"/>
      <c r="S40" s="1178">
        <f>Q40</f>
        <v>928250000</v>
      </c>
      <c r="T40" s="1179"/>
      <c r="U40" s="1178">
        <f>M40+O40+Q40+S40</f>
        <v>3713000000</v>
      </c>
      <c r="V40" s="1180"/>
    </row>
    <row r="41" spans="1:29">
      <c r="A41" s="1109" t="s">
        <v>549</v>
      </c>
      <c r="B41" s="1105"/>
      <c r="C41" s="1105"/>
      <c r="D41" s="1105"/>
      <c r="E41" s="1105"/>
      <c r="F41" s="1105"/>
      <c r="G41" s="1105"/>
      <c r="H41" s="1110"/>
      <c r="I41" s="11" t="s">
        <v>20</v>
      </c>
      <c r="J41" s="11"/>
      <c r="K41" s="11"/>
      <c r="L41" s="11"/>
      <c r="M41" s="1111">
        <v>450683470</v>
      </c>
      <c r="N41" s="1112"/>
      <c r="O41" s="1111">
        <v>534409540</v>
      </c>
      <c r="P41" s="1112"/>
      <c r="Q41" s="1111">
        <v>534409535</v>
      </c>
      <c r="R41" s="1112"/>
      <c r="S41" s="1111">
        <v>450683455</v>
      </c>
      <c r="T41" s="1112"/>
      <c r="U41" s="1111">
        <f>M41+O41+Q41+S41</f>
        <v>1970186000</v>
      </c>
      <c r="V41" s="1129"/>
    </row>
    <row r="42" spans="1:29">
      <c r="A42" s="1109" t="s">
        <v>552</v>
      </c>
      <c r="B42" s="1105"/>
      <c r="C42" s="1105"/>
      <c r="D42" s="1105"/>
      <c r="E42" s="1105"/>
      <c r="F42" s="1105"/>
      <c r="G42" s="1105"/>
      <c r="H42" s="1110"/>
      <c r="I42" s="11" t="s">
        <v>37</v>
      </c>
      <c r="J42" s="11"/>
      <c r="K42" s="11"/>
      <c r="L42" s="11"/>
      <c r="M42" s="1111">
        <v>382477000</v>
      </c>
      <c r="N42" s="1112"/>
      <c r="O42" s="1111">
        <v>623791000</v>
      </c>
      <c r="P42" s="1112"/>
      <c r="Q42" s="1111">
        <v>258581000</v>
      </c>
      <c r="R42" s="1112"/>
      <c r="S42" s="1111">
        <v>55695150</v>
      </c>
      <c r="T42" s="1112"/>
      <c r="U42" s="1111">
        <f>S42+Q42+O42+M42</f>
        <v>1320544150</v>
      </c>
      <c r="V42" s="1129"/>
      <c r="Y42">
        <f>1320544150</f>
        <v>1320544150</v>
      </c>
    </row>
    <row r="43" spans="1:29">
      <c r="A43" s="13"/>
      <c r="B43" s="11"/>
      <c r="C43" s="11"/>
      <c r="D43" s="11"/>
      <c r="E43" s="11"/>
      <c r="F43" s="11"/>
      <c r="G43" s="11"/>
      <c r="H43" s="18"/>
      <c r="I43" s="11"/>
      <c r="J43" s="11"/>
      <c r="K43" s="11"/>
      <c r="L43" s="11"/>
      <c r="M43" s="10"/>
      <c r="N43" s="18"/>
      <c r="O43" s="11"/>
      <c r="P43" s="11"/>
      <c r="Q43" s="10"/>
      <c r="R43" s="18"/>
      <c r="S43" s="11"/>
      <c r="T43" s="11"/>
      <c r="U43" s="10"/>
      <c r="V43" s="20"/>
      <c r="Y43" s="79">
        <f>Y42-U42</f>
        <v>0</v>
      </c>
    </row>
    <row r="44" spans="1:29">
      <c r="A44" s="13"/>
      <c r="B44" s="11"/>
      <c r="C44" s="11"/>
      <c r="D44" s="11"/>
      <c r="E44" s="11"/>
      <c r="F44" s="11"/>
      <c r="G44" s="11"/>
      <c r="H44" s="18"/>
      <c r="I44" s="11"/>
      <c r="J44" s="11"/>
      <c r="K44" s="11"/>
      <c r="L44" s="11"/>
      <c r="M44" s="10"/>
      <c r="N44" s="18"/>
      <c r="O44" s="11"/>
      <c r="P44" s="11"/>
      <c r="Q44" s="10"/>
      <c r="R44" s="18"/>
      <c r="S44" s="11"/>
      <c r="T44" s="11"/>
      <c r="U44" s="10"/>
      <c r="V44" s="20"/>
    </row>
    <row r="45" spans="1:29">
      <c r="A45" s="13"/>
      <c r="B45" s="11"/>
      <c r="C45" s="11"/>
      <c r="D45" s="11"/>
      <c r="E45" s="11"/>
      <c r="F45" s="11"/>
      <c r="G45" s="11"/>
      <c r="H45" s="18"/>
      <c r="I45" s="11"/>
      <c r="J45" s="11"/>
      <c r="K45" s="11"/>
      <c r="L45" s="11"/>
      <c r="M45" s="10"/>
      <c r="N45" s="18"/>
      <c r="O45" s="11"/>
      <c r="P45" s="11"/>
      <c r="Q45" s="10"/>
      <c r="R45" s="18"/>
      <c r="S45" s="11"/>
      <c r="T45" s="11"/>
      <c r="U45" s="10"/>
      <c r="V45" s="20"/>
      <c r="Y45" s="79">
        <f>U41+U42</f>
        <v>3290730150</v>
      </c>
    </row>
    <row r="46" spans="1:29">
      <c r="A46" s="21"/>
      <c r="B46" s="22"/>
      <c r="C46" s="22"/>
      <c r="D46" s="22"/>
      <c r="E46" s="22"/>
      <c r="F46" s="22"/>
      <c r="G46" s="22"/>
      <c r="H46" s="23"/>
      <c r="I46" s="22"/>
      <c r="J46" s="22"/>
      <c r="K46" s="22"/>
      <c r="L46" s="22"/>
      <c r="M46" s="24"/>
      <c r="N46" s="23"/>
      <c r="O46" s="22"/>
      <c r="P46" s="22"/>
      <c r="Q46" s="24"/>
      <c r="R46" s="23"/>
      <c r="S46" s="22"/>
      <c r="T46" s="22"/>
      <c r="U46" s="24"/>
      <c r="V46" s="29"/>
    </row>
    <row r="47" spans="1:29">
      <c r="A47" s="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0"/>
    </row>
    <row r="48" spans="1:29">
      <c r="A48" s="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0"/>
    </row>
    <row r="49" spans="1:22">
      <c r="A49" s="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00" t="s">
        <v>554</v>
      </c>
      <c r="S49" s="1100"/>
      <c r="T49" s="1100"/>
      <c r="U49" s="1100"/>
      <c r="V49" s="1101"/>
    </row>
    <row r="50" spans="1:22">
      <c r="A50" s="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00" t="s">
        <v>38</v>
      </c>
      <c r="S50" s="1100"/>
      <c r="T50" s="1100"/>
      <c r="U50" s="1100"/>
      <c r="V50" s="1101"/>
    </row>
    <row r="51" spans="1:22">
      <c r="A51" s="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00" t="s">
        <v>39</v>
      </c>
      <c r="S51" s="1100"/>
      <c r="T51" s="1100"/>
      <c r="U51" s="1100"/>
      <c r="V51" s="1101"/>
    </row>
    <row r="52" spans="1:22">
      <c r="A52" s="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00" t="s">
        <v>4</v>
      </c>
      <c r="S52" s="1100"/>
      <c r="T52" s="1100"/>
      <c r="U52" s="1100"/>
      <c r="V52" s="1101"/>
    </row>
    <row r="53" spans="1:22">
      <c r="A53" s="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00"/>
      <c r="S53" s="1100"/>
      <c r="T53" s="1100"/>
      <c r="U53" s="1100"/>
      <c r="V53" s="1101"/>
    </row>
    <row r="54" spans="1:22">
      <c r="A54" s="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475"/>
      <c r="S54" s="475"/>
      <c r="T54" s="475"/>
      <c r="U54" s="475"/>
      <c r="V54" s="477"/>
    </row>
    <row r="55" spans="1:22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0"/>
    </row>
    <row r="56" spans="1:22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0"/>
    </row>
    <row r="57" spans="1:22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07" t="s">
        <v>40</v>
      </c>
      <c r="S57" s="1107"/>
      <c r="T57" s="1107"/>
      <c r="U57" s="1107"/>
      <c r="V57" s="1108"/>
    </row>
    <row r="58" spans="1:22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00" t="s">
        <v>41</v>
      </c>
      <c r="S58" s="1100"/>
      <c r="T58" s="1100"/>
      <c r="U58" s="1100"/>
      <c r="V58" s="1101"/>
    </row>
    <row r="59" spans="1:22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00" t="s">
        <v>42</v>
      </c>
      <c r="S59" s="1100"/>
      <c r="T59" s="1100"/>
      <c r="U59" s="1100"/>
      <c r="V59" s="1101"/>
    </row>
    <row r="60" spans="1:22">
      <c r="A60" s="1102" t="s">
        <v>43</v>
      </c>
      <c r="B60" s="1103"/>
      <c r="C60" s="1103"/>
      <c r="D60" s="1103"/>
      <c r="E60" s="1103"/>
      <c r="F60" s="1103"/>
      <c r="G60" s="1103"/>
      <c r="H60" s="1103"/>
      <c r="I60" s="1103"/>
      <c r="J60" s="1103"/>
      <c r="K60" s="1103"/>
      <c r="L60" s="1103"/>
      <c r="M60" s="1103"/>
      <c r="N60" s="1103"/>
      <c r="O60" s="1103"/>
      <c r="P60" s="1103"/>
      <c r="Q60" s="1103"/>
      <c r="R60" s="1103"/>
      <c r="S60" s="1103"/>
      <c r="T60" s="1103"/>
      <c r="U60" s="1103"/>
      <c r="V60" s="1104"/>
    </row>
    <row r="61" spans="1:22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20"/>
    </row>
    <row r="62" spans="1:22">
      <c r="A62" s="13">
        <v>1</v>
      </c>
      <c r="B62" s="11" t="s">
        <v>526</v>
      </c>
      <c r="C62" s="11"/>
      <c r="D62" s="11"/>
      <c r="E62" s="11"/>
      <c r="F62" s="11"/>
      <c r="G62" s="11"/>
      <c r="H62" s="11"/>
      <c r="I62" s="11"/>
      <c r="J62" s="11"/>
      <c r="K62" s="11"/>
      <c r="L62" s="11" t="s">
        <v>555</v>
      </c>
      <c r="M62" s="11"/>
      <c r="N62" s="11"/>
      <c r="O62" s="11"/>
      <c r="P62" s="11"/>
      <c r="Q62" s="11"/>
      <c r="R62" s="11" t="s">
        <v>44</v>
      </c>
      <c r="S62" s="11"/>
      <c r="T62" s="11"/>
      <c r="U62" s="11"/>
      <c r="V62" s="20"/>
    </row>
    <row r="63" spans="1:22">
      <c r="A63" s="13"/>
      <c r="B63" s="11" t="s">
        <v>45</v>
      </c>
      <c r="C63" s="11"/>
      <c r="D63" s="11"/>
      <c r="E63" s="11"/>
      <c r="F63" s="11"/>
      <c r="G63" s="11"/>
      <c r="H63" s="11"/>
      <c r="I63" s="11"/>
      <c r="J63" s="11"/>
      <c r="K63" s="11"/>
      <c r="L63" s="11" t="s">
        <v>556</v>
      </c>
      <c r="M63" s="11"/>
      <c r="N63" s="11"/>
      <c r="O63" s="11"/>
      <c r="P63" s="11"/>
      <c r="Q63" s="11"/>
      <c r="R63" s="11"/>
      <c r="S63" s="11"/>
      <c r="T63" s="11"/>
      <c r="U63" s="11"/>
      <c r="V63" s="20"/>
    </row>
    <row r="64" spans="1:22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20"/>
    </row>
    <row r="65" spans="1:22">
      <c r="A65" s="13">
        <v>2</v>
      </c>
      <c r="B65" s="11" t="s">
        <v>46</v>
      </c>
      <c r="C65" s="11"/>
      <c r="D65" s="11"/>
      <c r="E65" s="11"/>
      <c r="F65" s="11"/>
      <c r="G65" s="11"/>
      <c r="H65" s="11"/>
      <c r="I65" s="11"/>
      <c r="J65" s="11"/>
      <c r="K65" s="11"/>
      <c r="L65" s="1105" t="s">
        <v>192</v>
      </c>
      <c r="M65" s="1105"/>
      <c r="N65" s="1105"/>
      <c r="O65" s="1105"/>
      <c r="P65" s="1105"/>
      <c r="Q65" s="1105"/>
      <c r="R65" s="1105"/>
      <c r="S65" s="11" t="s">
        <v>812</v>
      </c>
      <c r="T65" s="11"/>
      <c r="U65" s="11"/>
      <c r="V65" s="20"/>
    </row>
    <row r="66" spans="1:22">
      <c r="A66" s="13"/>
      <c r="B66" s="11" t="s">
        <v>45</v>
      </c>
      <c r="C66" s="11"/>
      <c r="D66" s="11"/>
      <c r="E66" s="11"/>
      <c r="F66" s="11"/>
      <c r="G66" s="11"/>
      <c r="H66" s="11"/>
      <c r="I66" s="11"/>
      <c r="J66" s="11"/>
      <c r="K66" s="11"/>
      <c r="L66" s="1105" t="s">
        <v>112</v>
      </c>
      <c r="M66" s="1106"/>
      <c r="N66" s="1106"/>
      <c r="O66" s="1106"/>
      <c r="P66" s="1106"/>
      <c r="Q66" s="1106"/>
      <c r="R66" s="1106"/>
      <c r="S66" s="11"/>
      <c r="T66" s="11"/>
      <c r="U66" s="11"/>
      <c r="V66" s="20"/>
    </row>
    <row r="67" spans="1:22" ht="15.75" thickBot="1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2"/>
    </row>
  </sheetData>
  <mergeCells count="93">
    <mergeCell ref="R58:V58"/>
    <mergeCell ref="R59:V59"/>
    <mergeCell ref="A60:V60"/>
    <mergeCell ref="L65:R65"/>
    <mergeCell ref="L66:R66"/>
    <mergeCell ref="U41:V41"/>
    <mergeCell ref="A42:H42"/>
    <mergeCell ref="M42:N42"/>
    <mergeCell ref="O42:P42"/>
    <mergeCell ref="Q42:R42"/>
    <mergeCell ref="S42:T42"/>
    <mergeCell ref="A41:H41"/>
    <mergeCell ref="M41:N41"/>
    <mergeCell ref="O41:P41"/>
    <mergeCell ref="Q41:R41"/>
    <mergeCell ref="S41:T41"/>
    <mergeCell ref="R57:V57"/>
    <mergeCell ref="U42:V42"/>
    <mergeCell ref="R49:V49"/>
    <mergeCell ref="R50:V50"/>
    <mergeCell ref="R51:V51"/>
    <mergeCell ref="R52:V52"/>
    <mergeCell ref="R53:V53"/>
    <mergeCell ref="S38:T38"/>
    <mergeCell ref="U38:V38"/>
    <mergeCell ref="A40:G40"/>
    <mergeCell ref="I40:L40"/>
    <mergeCell ref="M40:N40"/>
    <mergeCell ref="O40:P40"/>
    <mergeCell ref="Q40:R40"/>
    <mergeCell ref="S40:T40"/>
    <mergeCell ref="U40:V40"/>
    <mergeCell ref="A38:H38"/>
    <mergeCell ref="I38:L38"/>
    <mergeCell ref="M38:N38"/>
    <mergeCell ref="O38:P38"/>
    <mergeCell ref="Q38:R38"/>
    <mergeCell ref="AB37:AC37"/>
    <mergeCell ref="AB35:AC35"/>
    <mergeCell ref="A36:H36"/>
    <mergeCell ref="I36:L36"/>
    <mergeCell ref="M36:T36"/>
    <mergeCell ref="U36:V36"/>
    <mergeCell ref="AB36:AC36"/>
    <mergeCell ref="M37:N37"/>
    <mergeCell ref="O37:P37"/>
    <mergeCell ref="Q37:R37"/>
    <mergeCell ref="S37:T37"/>
    <mergeCell ref="AB34:AC34"/>
    <mergeCell ref="A26:J26"/>
    <mergeCell ref="T26:V26"/>
    <mergeCell ref="A27:J27"/>
    <mergeCell ref="T27:V27"/>
    <mergeCell ref="T28:V28"/>
    <mergeCell ref="T29:V29"/>
    <mergeCell ref="T30:V30"/>
    <mergeCell ref="A31:S31"/>
    <mergeCell ref="T31:V31"/>
    <mergeCell ref="A33:V33"/>
    <mergeCell ref="A34:V34"/>
    <mergeCell ref="A25:J25"/>
    <mergeCell ref="T25:V25"/>
    <mergeCell ref="T16:V16"/>
    <mergeCell ref="T17:V17"/>
    <mergeCell ref="T18:V18"/>
    <mergeCell ref="A20:J20"/>
    <mergeCell ref="T20:V20"/>
    <mergeCell ref="A21:J21"/>
    <mergeCell ref="T21:V21"/>
    <mergeCell ref="A22:J22"/>
    <mergeCell ref="T22:V22"/>
    <mergeCell ref="T23:V23"/>
    <mergeCell ref="A24:J24"/>
    <mergeCell ref="T24:V24"/>
    <mergeCell ref="T15:V15"/>
    <mergeCell ref="A9:V9"/>
    <mergeCell ref="A10:V10"/>
    <mergeCell ref="A11:J11"/>
    <mergeCell ref="K11:S11"/>
    <mergeCell ref="T11:V11"/>
    <mergeCell ref="A12:J12"/>
    <mergeCell ref="T12:V12"/>
    <mergeCell ref="A13:J13"/>
    <mergeCell ref="K13:S13"/>
    <mergeCell ref="T13:V13"/>
    <mergeCell ref="A14:J14"/>
    <mergeCell ref="T14:V14"/>
    <mergeCell ref="A6:V6"/>
    <mergeCell ref="A1:T2"/>
    <mergeCell ref="U1:V1"/>
    <mergeCell ref="A3:T4"/>
    <mergeCell ref="U3:V3"/>
    <mergeCell ref="A5:V5"/>
  </mergeCells>
  <pageMargins left="0.43307086614173229" right="0.43307086614173229" top="0.70866141732283472" bottom="0.70866141732283472" header="0.31496062992125984" footer="0.31496062992125984"/>
  <pageSetup paperSize="5" scale="80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117"/>
  <sheetViews>
    <sheetView topLeftCell="A58" workbookViewId="0">
      <selection activeCell="A110" sqref="A110"/>
    </sheetView>
  </sheetViews>
  <sheetFormatPr defaultRowHeight="15"/>
  <cols>
    <col min="1" max="1" width="2.5703125" customWidth="1"/>
    <col min="2" max="2" width="1.85546875" customWidth="1"/>
    <col min="3" max="3" width="2.140625" customWidth="1"/>
    <col min="4" max="4" width="4.7109375" customWidth="1"/>
    <col min="5" max="5" width="2.140625" customWidth="1"/>
    <col min="6" max="7" width="1.7109375" customWidth="1"/>
    <col min="8" max="8" width="2.7109375" customWidth="1"/>
    <col min="9" max="9" width="1.7109375" customWidth="1"/>
    <col min="10" max="10" width="1.42578125" customWidth="1"/>
    <col min="11" max="11" width="9.140625" hidden="1" customWidth="1"/>
    <col min="12" max="12" width="4" customWidth="1"/>
    <col min="13" max="13" width="11.140625" customWidth="1"/>
    <col min="14" max="14" width="7.42578125" customWidth="1"/>
    <col min="15" max="15" width="7.28515625" customWidth="1"/>
    <col min="16" max="16" width="7.5703125" customWidth="1"/>
    <col min="17" max="17" width="6.5703125" customWidth="1"/>
    <col min="18" max="18" width="3.28515625" customWidth="1"/>
    <col min="19" max="19" width="4.42578125" customWidth="1"/>
    <col min="20" max="20" width="5.5703125" customWidth="1"/>
    <col min="21" max="21" width="6" customWidth="1"/>
    <col min="22" max="22" width="5" customWidth="1"/>
    <col min="23" max="23" width="7" customWidth="1"/>
    <col min="24" max="24" width="7.42578125" customWidth="1"/>
    <col min="26" max="26" width="11" customWidth="1"/>
    <col min="27" max="27" width="14.28515625" customWidth="1"/>
    <col min="28" max="28" width="14.85546875" customWidth="1"/>
    <col min="29" max="29" width="13.42578125" customWidth="1"/>
  </cols>
  <sheetData>
    <row r="1" spans="1:29">
      <c r="A1" s="1161" t="s">
        <v>117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3"/>
      <c r="P1" s="1333" t="s">
        <v>118</v>
      </c>
      <c r="Q1" s="1334"/>
      <c r="R1" s="1334"/>
      <c r="S1" s="1334"/>
      <c r="T1" s="1334"/>
      <c r="U1" s="1334"/>
      <c r="V1" s="1335"/>
      <c r="W1" s="51" t="s">
        <v>1</v>
      </c>
      <c r="X1" s="52"/>
    </row>
    <row r="2" spans="1:29">
      <c r="A2" s="1164"/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6"/>
      <c r="P2" s="1284"/>
      <c r="Q2" s="1285"/>
      <c r="R2" s="1285"/>
      <c r="S2" s="1285"/>
      <c r="T2" s="1285"/>
      <c r="U2" s="1285"/>
      <c r="V2" s="1286"/>
      <c r="W2" s="35"/>
      <c r="X2" s="2"/>
    </row>
    <row r="3" spans="1:29">
      <c r="A3" s="1169" t="s">
        <v>2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  <c r="N3" s="1170"/>
      <c r="O3" s="1171"/>
      <c r="P3" s="247" t="s">
        <v>7</v>
      </c>
      <c r="Q3" s="247" t="s">
        <v>7</v>
      </c>
      <c r="R3" s="116" t="s">
        <v>92</v>
      </c>
      <c r="S3" s="42" t="s">
        <v>119</v>
      </c>
      <c r="T3" s="116" t="s">
        <v>119</v>
      </c>
      <c r="U3" s="240">
        <v>5</v>
      </c>
      <c r="V3" s="37">
        <v>1</v>
      </c>
      <c r="W3" s="1147" t="s">
        <v>3</v>
      </c>
      <c r="X3" s="1149"/>
    </row>
    <row r="4" spans="1:29">
      <c r="A4" s="1172"/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4"/>
      <c r="P4" s="54"/>
      <c r="Q4" s="54"/>
      <c r="R4" s="55"/>
      <c r="S4" s="56"/>
      <c r="T4" s="43"/>
      <c r="U4" s="3"/>
      <c r="V4" s="39"/>
      <c r="W4" s="1336">
        <v>2.1</v>
      </c>
      <c r="X4" s="1144"/>
    </row>
    <row r="5" spans="1:29">
      <c r="A5" s="1139" t="s">
        <v>4</v>
      </c>
      <c r="B5" s="1140"/>
      <c r="C5" s="1140"/>
      <c r="D5" s="1140"/>
      <c r="E5" s="1140"/>
      <c r="F5" s="1140"/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1140"/>
      <c r="R5" s="1140"/>
      <c r="S5" s="1140"/>
      <c r="T5" s="1140"/>
      <c r="U5" s="1140"/>
      <c r="V5" s="1140"/>
      <c r="W5" s="1140"/>
      <c r="X5" s="1141"/>
    </row>
    <row r="6" spans="1:29">
      <c r="A6" s="1142" t="s">
        <v>451</v>
      </c>
      <c r="B6" s="1143"/>
      <c r="C6" s="1143"/>
      <c r="D6" s="1143"/>
      <c r="E6" s="1143"/>
      <c r="F6" s="1143"/>
      <c r="G6" s="1143"/>
      <c r="H6" s="1143"/>
      <c r="I6" s="1143"/>
      <c r="J6" s="1143"/>
      <c r="K6" s="1143"/>
      <c r="L6" s="1143"/>
      <c r="M6" s="1143"/>
      <c r="N6" s="1143"/>
      <c r="O6" s="1143"/>
      <c r="P6" s="1143"/>
      <c r="Q6" s="1143"/>
      <c r="R6" s="1143"/>
      <c r="S6" s="1143"/>
      <c r="T6" s="1143"/>
      <c r="U6" s="1143"/>
      <c r="V6" s="1143"/>
      <c r="W6" s="1143"/>
      <c r="X6" s="1144"/>
    </row>
    <row r="7" spans="1:29">
      <c r="A7" s="5" t="s">
        <v>5</v>
      </c>
      <c r="B7" s="195"/>
      <c r="C7" s="195"/>
      <c r="D7" s="195"/>
      <c r="E7" s="195"/>
      <c r="F7" s="195"/>
      <c r="G7" s="195"/>
      <c r="H7" s="195"/>
      <c r="I7" s="195"/>
      <c r="J7" s="195"/>
      <c r="K7" s="195" t="s">
        <v>6</v>
      </c>
      <c r="L7" s="195" t="s">
        <v>7</v>
      </c>
      <c r="M7" s="195"/>
      <c r="N7" s="195"/>
      <c r="O7" s="195"/>
      <c r="P7" s="195" t="s">
        <v>8</v>
      </c>
      <c r="Q7" s="195"/>
      <c r="R7" s="195"/>
      <c r="S7" s="195"/>
      <c r="T7" s="195"/>
      <c r="U7" s="195"/>
      <c r="V7" s="195"/>
      <c r="W7" s="195"/>
      <c r="X7" s="2"/>
    </row>
    <row r="8" spans="1:29">
      <c r="A8" s="5" t="s">
        <v>9</v>
      </c>
      <c r="B8" s="195"/>
      <c r="C8" s="195"/>
      <c r="D8" s="195"/>
      <c r="E8" s="195"/>
      <c r="F8" s="195"/>
      <c r="G8" s="195"/>
      <c r="H8" s="195"/>
      <c r="I8" s="195"/>
      <c r="J8" s="195"/>
      <c r="K8" s="195" t="s">
        <v>6</v>
      </c>
      <c r="L8" s="6" t="s">
        <v>10</v>
      </c>
      <c r="M8" s="6"/>
      <c r="N8" s="195"/>
      <c r="O8" s="195"/>
      <c r="P8" s="195" t="s">
        <v>437</v>
      </c>
      <c r="Q8" s="195"/>
      <c r="R8" s="195"/>
      <c r="S8" s="195"/>
      <c r="T8" s="195"/>
      <c r="U8" s="195"/>
      <c r="V8" s="195"/>
      <c r="W8" s="195"/>
      <c r="X8" s="2"/>
    </row>
    <row r="9" spans="1:29">
      <c r="A9" s="1321" t="s">
        <v>120</v>
      </c>
      <c r="B9" s="1322"/>
      <c r="C9" s="1322"/>
      <c r="D9" s="1322"/>
      <c r="E9" s="1322"/>
      <c r="F9" s="1322"/>
      <c r="G9" s="1322"/>
      <c r="H9" s="1322"/>
      <c r="I9" s="1322"/>
      <c r="J9" s="1322"/>
      <c r="K9" s="1322"/>
      <c r="L9" s="1322"/>
      <c r="M9" s="1322"/>
      <c r="N9" s="1322"/>
      <c r="O9" s="1322"/>
      <c r="P9" s="1322"/>
      <c r="Q9" s="1322"/>
      <c r="R9" s="1322"/>
      <c r="S9" s="1322"/>
      <c r="T9" s="1322"/>
      <c r="U9" s="1322"/>
      <c r="V9" s="1322"/>
      <c r="W9" s="1322"/>
      <c r="X9" s="1323"/>
    </row>
    <row r="10" spans="1:29">
      <c r="A10" s="1324" t="s">
        <v>2</v>
      </c>
      <c r="B10" s="1325"/>
      <c r="C10" s="1325"/>
      <c r="D10" s="1325"/>
      <c r="E10" s="1325"/>
      <c r="F10" s="1325"/>
      <c r="G10" s="1325"/>
      <c r="H10" s="1325"/>
      <c r="I10" s="1325"/>
      <c r="J10" s="1325"/>
      <c r="K10" s="1325"/>
      <c r="L10" s="1325"/>
      <c r="M10" s="1325"/>
      <c r="N10" s="1325"/>
      <c r="O10" s="1325"/>
      <c r="P10" s="1325"/>
      <c r="Q10" s="1325"/>
      <c r="R10" s="1325"/>
      <c r="S10" s="1325"/>
      <c r="T10" s="1325"/>
      <c r="U10" s="1325"/>
      <c r="V10" s="1325"/>
      <c r="W10" s="1325"/>
      <c r="X10" s="1326"/>
    </row>
    <row r="11" spans="1:29">
      <c r="A11" s="1139" t="s">
        <v>13</v>
      </c>
      <c r="B11" s="1140"/>
      <c r="C11" s="1140"/>
      <c r="D11" s="1140"/>
      <c r="E11" s="1140"/>
      <c r="F11" s="1140"/>
      <c r="G11" s="1140"/>
      <c r="H11" s="1140"/>
      <c r="I11" s="1140"/>
      <c r="J11" s="1140"/>
      <c r="K11" s="1140"/>
      <c r="L11" s="1327"/>
      <c r="M11" s="1328" t="s">
        <v>14</v>
      </c>
      <c r="N11" s="1140"/>
      <c r="O11" s="1140"/>
      <c r="P11" s="1327"/>
      <c r="Q11" s="1328" t="s">
        <v>121</v>
      </c>
      <c r="R11" s="1140"/>
      <c r="S11" s="1140"/>
      <c r="T11" s="1140"/>
      <c r="U11" s="1140"/>
      <c r="V11" s="1328" t="s">
        <v>15</v>
      </c>
      <c r="W11" s="1140"/>
      <c r="X11" s="1141"/>
    </row>
    <row r="12" spans="1:29">
      <c r="A12" s="1145" t="s">
        <v>16</v>
      </c>
      <c r="B12" s="1146"/>
      <c r="C12" s="1146"/>
      <c r="D12" s="1146"/>
      <c r="E12" s="1146"/>
      <c r="F12" s="1146"/>
      <c r="G12" s="1146"/>
      <c r="H12" s="1146"/>
      <c r="I12" s="1146"/>
      <c r="J12" s="1146"/>
      <c r="K12" s="1146"/>
      <c r="L12" s="1148"/>
      <c r="M12" s="35"/>
      <c r="N12" s="195"/>
      <c r="O12" s="195"/>
      <c r="P12" s="36"/>
      <c r="Q12" s="41" t="s">
        <v>122</v>
      </c>
      <c r="R12" s="1153" t="s">
        <v>123</v>
      </c>
      <c r="S12" s="1152"/>
      <c r="T12" s="1153" t="s">
        <v>124</v>
      </c>
      <c r="U12" s="1152"/>
      <c r="V12" s="1147" t="s">
        <v>17</v>
      </c>
      <c r="W12" s="1146"/>
      <c r="X12" s="1149"/>
    </row>
    <row r="13" spans="1:29">
      <c r="A13" s="1150">
        <v>1</v>
      </c>
      <c r="B13" s="1151"/>
      <c r="C13" s="1151"/>
      <c r="D13" s="1151"/>
      <c r="E13" s="1151"/>
      <c r="F13" s="1151"/>
      <c r="G13" s="1151"/>
      <c r="H13" s="1151"/>
      <c r="I13" s="1151"/>
      <c r="J13" s="1151"/>
      <c r="K13" s="1151"/>
      <c r="L13" s="1152"/>
      <c r="M13" s="1153">
        <v>2</v>
      </c>
      <c r="N13" s="1151"/>
      <c r="O13" s="1151"/>
      <c r="P13" s="1152"/>
      <c r="Q13" s="40">
        <v>3</v>
      </c>
      <c r="R13" s="1153">
        <v>4</v>
      </c>
      <c r="S13" s="1152"/>
      <c r="T13" s="1153">
        <v>5</v>
      </c>
      <c r="U13" s="1152"/>
      <c r="V13" s="1153">
        <v>6</v>
      </c>
      <c r="W13" s="1151"/>
      <c r="X13" s="1154"/>
    </row>
    <row r="14" spans="1:29">
      <c r="A14" s="1337" t="s">
        <v>156</v>
      </c>
      <c r="B14" s="1338"/>
      <c r="C14" s="1338"/>
      <c r="D14" s="1338"/>
      <c r="E14" s="1338"/>
      <c r="F14" s="1338"/>
      <c r="G14" s="1338"/>
      <c r="H14" s="1338"/>
      <c r="I14" s="1338"/>
      <c r="J14" s="1338"/>
      <c r="K14" s="1338"/>
      <c r="L14" s="1339"/>
      <c r="M14" s="35" t="s">
        <v>18</v>
      </c>
      <c r="N14" s="195"/>
      <c r="O14" s="195"/>
      <c r="P14" s="36"/>
      <c r="Q14" s="35"/>
      <c r="R14" s="58"/>
      <c r="S14" s="59"/>
      <c r="T14" s="60"/>
      <c r="U14" s="60"/>
      <c r="V14" s="1340">
        <f>V15</f>
        <v>1970186000</v>
      </c>
      <c r="W14" s="1341"/>
      <c r="X14" s="1342"/>
      <c r="AB14" s="262"/>
      <c r="AC14" s="262"/>
    </row>
    <row r="15" spans="1:29">
      <c r="A15" s="1329" t="s">
        <v>19</v>
      </c>
      <c r="B15" s="1278"/>
      <c r="C15" s="1278"/>
      <c r="D15" s="1278"/>
      <c r="E15" s="1278"/>
      <c r="F15" s="1278"/>
      <c r="G15" s="1278"/>
      <c r="H15" s="1278"/>
      <c r="I15" s="1278"/>
      <c r="J15" s="1278"/>
      <c r="K15" s="1278"/>
      <c r="L15" s="1278"/>
      <c r="M15" s="35" t="s">
        <v>125</v>
      </c>
      <c r="N15" s="195"/>
      <c r="O15" s="195"/>
      <c r="P15" s="36"/>
      <c r="Q15" s="35"/>
      <c r="R15" s="35"/>
      <c r="S15" s="36"/>
      <c r="T15" s="60"/>
      <c r="U15" s="60"/>
      <c r="V15" s="1330">
        <f>V16</f>
        <v>1970186000</v>
      </c>
      <c r="W15" s="1331"/>
      <c r="X15" s="1332"/>
      <c r="AB15" s="262"/>
      <c r="AC15" s="262"/>
    </row>
    <row r="16" spans="1:29">
      <c r="A16" s="1329" t="s">
        <v>21</v>
      </c>
      <c r="B16" s="1278"/>
      <c r="C16" s="1278"/>
      <c r="D16" s="1278"/>
      <c r="E16" s="1278"/>
      <c r="F16" s="1278"/>
      <c r="G16" s="1278"/>
      <c r="H16" s="1278"/>
      <c r="I16" s="1278"/>
      <c r="J16" s="1278"/>
      <c r="K16" s="1278"/>
      <c r="L16" s="1278"/>
      <c r="M16" s="35" t="s">
        <v>22</v>
      </c>
      <c r="N16" s="195"/>
      <c r="O16" s="195"/>
      <c r="P16" s="36"/>
      <c r="Q16" s="35"/>
      <c r="R16" s="35"/>
      <c r="S16" s="36"/>
      <c r="T16" s="60"/>
      <c r="U16" s="60"/>
      <c r="V16" s="1330">
        <f>V17+V87</f>
        <v>1970186000</v>
      </c>
      <c r="W16" s="1331"/>
      <c r="X16" s="1332"/>
      <c r="AB16" s="262"/>
      <c r="AC16" s="262"/>
    </row>
    <row r="17" spans="1:29">
      <c r="A17" s="1329" t="s">
        <v>452</v>
      </c>
      <c r="B17" s="1278"/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35" t="s">
        <v>126</v>
      </c>
      <c r="N17" s="195"/>
      <c r="O17" s="195"/>
      <c r="P17" s="36"/>
      <c r="Q17" s="35"/>
      <c r="R17" s="35"/>
      <c r="S17" s="36"/>
      <c r="T17" s="60"/>
      <c r="U17" s="60"/>
      <c r="V17" s="1330">
        <f>V18+V30+V47+V53+V76+V84+V85</f>
        <v>1223414000</v>
      </c>
      <c r="W17" s="1331"/>
      <c r="X17" s="1332"/>
      <c r="AB17" s="262"/>
      <c r="AC17" s="262"/>
    </row>
    <row r="18" spans="1:29">
      <c r="A18" s="1329" t="s">
        <v>453</v>
      </c>
      <c r="B18" s="1278"/>
      <c r="C18" s="1278"/>
      <c r="D18" s="1278"/>
      <c r="E18" s="1278"/>
      <c r="F18" s="1278"/>
      <c r="G18" s="1278"/>
      <c r="H18" s="1278"/>
      <c r="I18" s="1278"/>
      <c r="J18" s="1278"/>
      <c r="K18" s="1278"/>
      <c r="L18" s="1351"/>
      <c r="M18" s="35" t="s">
        <v>127</v>
      </c>
      <c r="N18" s="195"/>
      <c r="O18" s="195"/>
      <c r="P18" s="36"/>
      <c r="Q18" s="38"/>
      <c r="R18" s="35"/>
      <c r="S18" s="36"/>
      <c r="T18" s="60"/>
      <c r="U18" s="60"/>
      <c r="V18" s="1330">
        <f>V27+V28</f>
        <v>962761000</v>
      </c>
      <c r="W18" s="1331"/>
      <c r="X18" s="1332"/>
      <c r="AA18" s="78">
        <f>V18/14</f>
        <v>68768642.857142851</v>
      </c>
      <c r="AB18" s="263"/>
      <c r="AC18" s="263"/>
    </row>
    <row r="19" spans="1:29">
      <c r="A19" s="251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35" t="s">
        <v>139</v>
      </c>
      <c r="N19" s="1278" t="s">
        <v>495</v>
      </c>
      <c r="O19" s="1278"/>
      <c r="P19" s="36"/>
      <c r="Q19" s="35">
        <f>3*14</f>
        <v>42</v>
      </c>
      <c r="R19" s="1147" t="s">
        <v>128</v>
      </c>
      <c r="S19" s="1148"/>
      <c r="T19" s="1349">
        <v>4666100</v>
      </c>
      <c r="U19" s="1350"/>
      <c r="V19" s="1318">
        <f>Q19*T19</f>
        <v>195976200</v>
      </c>
      <c r="W19" s="1319"/>
      <c r="X19" s="1320"/>
      <c r="AA19" s="78"/>
      <c r="AB19" s="78"/>
      <c r="AC19" s="78"/>
    </row>
    <row r="20" spans="1:29">
      <c r="A20" s="251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35"/>
      <c r="N20" s="195"/>
      <c r="O20" s="195"/>
      <c r="P20" s="36"/>
      <c r="Q20" s="35"/>
      <c r="R20" s="249"/>
      <c r="S20" s="250"/>
      <c r="T20" s="256"/>
      <c r="U20" s="257"/>
      <c r="V20" s="259"/>
      <c r="W20" s="260"/>
      <c r="X20" s="261"/>
      <c r="AA20" s="78"/>
      <c r="AB20" s="78"/>
      <c r="AC20" s="78"/>
    </row>
    <row r="21" spans="1:29">
      <c r="A21" s="251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35" t="s">
        <v>447</v>
      </c>
      <c r="N21" s="195" t="s">
        <v>494</v>
      </c>
      <c r="O21" s="195"/>
      <c r="P21" s="36"/>
      <c r="Q21" s="35">
        <f>12*14</f>
        <v>168</v>
      </c>
      <c r="R21" s="1147" t="s">
        <v>128</v>
      </c>
      <c r="S21" s="1148"/>
      <c r="T21" s="1349">
        <v>3420033</v>
      </c>
      <c r="U21" s="1350"/>
      <c r="V21" s="1318">
        <f>Q21*T21</f>
        <v>574565544</v>
      </c>
      <c r="W21" s="1319"/>
      <c r="X21" s="1320"/>
      <c r="AA21" s="78"/>
      <c r="AB21" s="78"/>
      <c r="AC21" s="78"/>
    </row>
    <row r="22" spans="1:29">
      <c r="A22" s="251"/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35"/>
      <c r="N22" s="195"/>
      <c r="O22" s="195"/>
      <c r="P22" s="36"/>
      <c r="Q22" s="35"/>
      <c r="R22" s="249"/>
      <c r="S22" s="250"/>
      <c r="T22" s="256"/>
      <c r="U22" s="257"/>
      <c r="V22" s="259"/>
      <c r="W22" s="260"/>
      <c r="X22" s="261"/>
      <c r="AA22" s="78"/>
      <c r="AB22" s="78"/>
      <c r="AC22" s="78"/>
    </row>
    <row r="23" spans="1:29">
      <c r="A23" s="251"/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35" t="s">
        <v>449</v>
      </c>
      <c r="N23" s="195" t="s">
        <v>493</v>
      </c>
      <c r="O23" s="195"/>
      <c r="P23" s="36"/>
      <c r="Q23" s="35">
        <f>4*14</f>
        <v>56</v>
      </c>
      <c r="R23" s="1147" t="s">
        <v>128</v>
      </c>
      <c r="S23" s="1148"/>
      <c r="T23" s="1349">
        <v>2484750</v>
      </c>
      <c r="U23" s="1350"/>
      <c r="V23" s="1318">
        <f>Q23*T23</f>
        <v>139146000</v>
      </c>
      <c r="W23" s="1319"/>
      <c r="X23" s="1320"/>
      <c r="AA23" s="78"/>
      <c r="AB23" s="78"/>
      <c r="AC23" s="78"/>
    </row>
    <row r="24" spans="1:29">
      <c r="A24" s="251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35"/>
      <c r="N24" s="195"/>
      <c r="O24" s="195"/>
      <c r="P24" s="36"/>
      <c r="Q24" s="35"/>
      <c r="R24" s="249"/>
      <c r="S24" s="250"/>
      <c r="T24" s="256"/>
      <c r="U24" s="257"/>
      <c r="V24" s="259"/>
      <c r="W24" s="260"/>
      <c r="X24" s="261"/>
      <c r="AA24" s="78"/>
      <c r="AB24" s="78"/>
      <c r="AC24" s="78"/>
    </row>
    <row r="25" spans="1:29">
      <c r="A25" s="251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35" t="s">
        <v>448</v>
      </c>
      <c r="N25" s="45" t="s">
        <v>492</v>
      </c>
      <c r="O25" s="195"/>
      <c r="P25" s="36"/>
      <c r="Q25" s="35">
        <v>14</v>
      </c>
      <c r="R25" s="1147" t="s">
        <v>128</v>
      </c>
      <c r="S25" s="1148"/>
      <c r="T25" s="1349">
        <v>1975800</v>
      </c>
      <c r="U25" s="1350"/>
      <c r="V25" s="1318">
        <f>Q25*T25</f>
        <v>27661200</v>
      </c>
      <c r="W25" s="1319"/>
      <c r="X25" s="1320"/>
      <c r="AA25" s="78"/>
      <c r="AB25" s="78"/>
      <c r="AC25" s="78"/>
    </row>
    <row r="26" spans="1:29">
      <c r="A26" s="251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35"/>
      <c r="N26" s="45"/>
      <c r="O26" s="195"/>
      <c r="P26" s="36"/>
      <c r="Q26" s="35"/>
      <c r="R26" s="249"/>
      <c r="S26" s="250"/>
      <c r="T26" s="258"/>
      <c r="U26" s="258"/>
      <c r="V26" s="259"/>
      <c r="W26" s="260"/>
      <c r="X26" s="261"/>
      <c r="AA26" s="78"/>
      <c r="AB26" s="78"/>
      <c r="AC26" s="78"/>
    </row>
    <row r="27" spans="1:29">
      <c r="A27" s="251"/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35" t="s">
        <v>110</v>
      </c>
      <c r="N27" s="195"/>
      <c r="O27" s="195"/>
      <c r="P27" s="36"/>
      <c r="Q27" s="35"/>
      <c r="R27" s="249"/>
      <c r="S27" s="250"/>
      <c r="T27" s="258"/>
      <c r="U27" s="258"/>
      <c r="V27" s="1330">
        <f>V19+V21+V23+V25</f>
        <v>937348944</v>
      </c>
      <c r="W27" s="1331"/>
      <c r="X27" s="1332"/>
      <c r="AB27" s="263"/>
      <c r="AC27" s="263"/>
    </row>
    <row r="28" spans="1:29">
      <c r="A28" s="251"/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35" t="s">
        <v>132</v>
      </c>
      <c r="N28" s="195"/>
      <c r="O28" s="195"/>
      <c r="P28" s="36"/>
      <c r="Q28" s="35"/>
      <c r="R28" s="35"/>
      <c r="S28" s="36"/>
      <c r="T28" s="60"/>
      <c r="U28" s="60"/>
      <c r="V28" s="1330">
        <f>969761000-V27-7000000</f>
        <v>25412056</v>
      </c>
      <c r="W28" s="1331"/>
      <c r="X28" s="1332"/>
      <c r="AB28" s="263"/>
      <c r="AC28" s="263"/>
    </row>
    <row r="29" spans="1:29">
      <c r="A29" s="1329"/>
      <c r="B29" s="1278"/>
      <c r="C29" s="1278"/>
      <c r="D29" s="1278"/>
      <c r="E29" s="1278"/>
      <c r="F29" s="1278"/>
      <c r="G29" s="1278"/>
      <c r="H29" s="1278"/>
      <c r="I29" s="1278"/>
      <c r="J29" s="1278"/>
      <c r="K29" s="1278"/>
      <c r="L29" s="1278"/>
      <c r="M29" s="35"/>
      <c r="N29" s="195"/>
      <c r="O29" s="195"/>
      <c r="P29" s="36"/>
      <c r="Q29" s="35"/>
      <c r="R29" s="35"/>
      <c r="S29" s="36"/>
      <c r="T29" s="60"/>
      <c r="U29" s="60"/>
      <c r="V29" s="253"/>
      <c r="W29" s="254"/>
      <c r="X29" s="255"/>
      <c r="AB29" s="263"/>
      <c r="AC29" s="263"/>
    </row>
    <row r="30" spans="1:29">
      <c r="A30" s="1329" t="s">
        <v>454</v>
      </c>
      <c r="B30" s="1278"/>
      <c r="C30" s="1278"/>
      <c r="D30" s="1278"/>
      <c r="E30" s="1278"/>
      <c r="F30" s="1278"/>
      <c r="G30" s="1278"/>
      <c r="H30" s="1278"/>
      <c r="I30" s="1278"/>
      <c r="J30" s="1278"/>
      <c r="K30" s="1278"/>
      <c r="L30" s="1278"/>
      <c r="M30" s="35" t="s">
        <v>133</v>
      </c>
      <c r="N30" s="195"/>
      <c r="O30" s="195"/>
      <c r="P30" s="36"/>
      <c r="Q30" s="35"/>
      <c r="R30" s="35"/>
      <c r="S30" s="36"/>
      <c r="T30" s="60"/>
      <c r="U30" s="60"/>
      <c r="V30" s="1330">
        <f>V31+V39</f>
        <v>100385000</v>
      </c>
      <c r="W30" s="1331"/>
      <c r="X30" s="1332"/>
      <c r="AA30" s="78">
        <f>V30/14</f>
        <v>7170357.1428571427</v>
      </c>
    </row>
    <row r="31" spans="1:29">
      <c r="A31" s="275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35" t="s">
        <v>496</v>
      </c>
      <c r="N31" s="195"/>
      <c r="O31" s="195"/>
      <c r="P31" s="36"/>
      <c r="Q31" s="35"/>
      <c r="R31" s="35"/>
      <c r="S31" s="36"/>
      <c r="T31" s="60"/>
      <c r="U31" s="60"/>
      <c r="V31" s="1318">
        <f>V36+V37</f>
        <v>79722000</v>
      </c>
      <c r="W31" s="1319"/>
      <c r="X31" s="1320"/>
    </row>
    <row r="32" spans="1:29">
      <c r="A32" s="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35" t="s">
        <v>139</v>
      </c>
      <c r="N32" s="195" t="s">
        <v>495</v>
      </c>
      <c r="O32" s="195"/>
      <c r="P32" s="36"/>
      <c r="Q32" s="35">
        <f>3*14</f>
        <v>42</v>
      </c>
      <c r="R32" s="1147" t="s">
        <v>128</v>
      </c>
      <c r="S32" s="1148"/>
      <c r="T32" s="1349">
        <v>466610</v>
      </c>
      <c r="U32" s="1350"/>
      <c r="V32" s="1349">
        <f>Q32*T32</f>
        <v>19597620</v>
      </c>
      <c r="W32" s="1352"/>
      <c r="X32" s="1353"/>
    </row>
    <row r="33" spans="1:29">
      <c r="A33" s="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35" t="s">
        <v>447</v>
      </c>
      <c r="N33" s="195" t="s">
        <v>500</v>
      </c>
      <c r="O33" s="195"/>
      <c r="P33" s="36"/>
      <c r="Q33" s="35">
        <f>9*14</f>
        <v>126</v>
      </c>
      <c r="R33" s="1147" t="s">
        <v>128</v>
      </c>
      <c r="S33" s="1148"/>
      <c r="T33" s="1349">
        <v>350107</v>
      </c>
      <c r="U33" s="1350"/>
      <c r="V33" s="1349">
        <f>Q33*T33</f>
        <v>44113482</v>
      </c>
      <c r="W33" s="1352"/>
      <c r="X33" s="1353"/>
    </row>
    <row r="34" spans="1:29">
      <c r="A34" s="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35" t="s">
        <v>449</v>
      </c>
      <c r="N34" s="195" t="s">
        <v>495</v>
      </c>
      <c r="O34" s="195"/>
      <c r="P34" s="36"/>
      <c r="Q34" s="35">
        <f>3 *14</f>
        <v>42</v>
      </c>
      <c r="R34" s="1147" t="s">
        <v>128</v>
      </c>
      <c r="S34" s="1148"/>
      <c r="T34" s="1349">
        <v>251930</v>
      </c>
      <c r="U34" s="1350"/>
      <c r="V34" s="1349">
        <f>Q34*T34</f>
        <v>10581060</v>
      </c>
      <c r="W34" s="1352"/>
      <c r="X34" s="1353"/>
    </row>
    <row r="35" spans="1:29">
      <c r="A35" s="5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35" t="s">
        <v>448</v>
      </c>
      <c r="N35" s="195" t="s">
        <v>498</v>
      </c>
      <c r="O35" s="195"/>
      <c r="P35" s="36"/>
      <c r="Q35" s="35">
        <v>14</v>
      </c>
      <c r="R35" s="1147" t="s">
        <v>128</v>
      </c>
      <c r="S35" s="1148"/>
      <c r="T35" s="1349">
        <v>197580</v>
      </c>
      <c r="U35" s="1350"/>
      <c r="V35" s="1349">
        <f>Q35*T35</f>
        <v>2766120</v>
      </c>
      <c r="W35" s="1352"/>
      <c r="X35" s="1353"/>
    </row>
    <row r="36" spans="1:29">
      <c r="A36" s="5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35" t="s">
        <v>110</v>
      </c>
      <c r="N36" s="195"/>
      <c r="O36" s="195"/>
      <c r="P36" s="36"/>
      <c r="Q36" s="35"/>
      <c r="R36" s="35"/>
      <c r="S36" s="36"/>
      <c r="T36" s="60"/>
      <c r="U36" s="60"/>
      <c r="V36" s="1343">
        <f>V32+V33+V34+V35</f>
        <v>77058282</v>
      </c>
      <c r="W36" s="1344"/>
      <c r="X36" s="1345"/>
      <c r="AA36" s="78"/>
      <c r="AB36" s="78"/>
      <c r="AC36" s="78"/>
    </row>
    <row r="37" spans="1:29">
      <c r="A37" s="5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35" t="s">
        <v>132</v>
      </c>
      <c r="N37" s="195"/>
      <c r="O37" s="195"/>
      <c r="P37" s="36"/>
      <c r="Q37" s="35"/>
      <c r="R37" s="35"/>
      <c r="S37" s="36"/>
      <c r="T37" s="60"/>
      <c r="U37" s="60"/>
      <c r="V37" s="1343">
        <f>79722000-V36</f>
        <v>2663718</v>
      </c>
      <c r="W37" s="1344"/>
      <c r="X37" s="1345"/>
      <c r="AA37" s="78"/>
      <c r="AB37" s="78"/>
      <c r="AC37" s="78"/>
    </row>
    <row r="38" spans="1:29">
      <c r="A38" s="5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35"/>
      <c r="N38" s="195"/>
      <c r="O38" s="195"/>
      <c r="P38" s="36"/>
      <c r="Q38" s="35"/>
      <c r="R38" s="35"/>
      <c r="S38" s="36"/>
      <c r="T38" s="60"/>
      <c r="U38" s="60"/>
      <c r="V38" s="277"/>
      <c r="W38" s="278"/>
      <c r="X38" s="279"/>
      <c r="AA38" s="78"/>
      <c r="AB38" s="78"/>
      <c r="AC38" s="78"/>
    </row>
    <row r="39" spans="1:29">
      <c r="A39" s="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35" t="s">
        <v>497</v>
      </c>
      <c r="N39" s="195"/>
      <c r="O39" s="195"/>
      <c r="P39" s="36"/>
      <c r="Q39" s="35"/>
      <c r="R39" s="35"/>
      <c r="S39" s="36"/>
      <c r="T39" s="60"/>
      <c r="U39" s="60"/>
      <c r="V39" s="1346">
        <f>V44+V45</f>
        <v>20663000</v>
      </c>
      <c r="W39" s="1347"/>
      <c r="X39" s="1348"/>
      <c r="AA39" s="78"/>
      <c r="AB39" s="78"/>
      <c r="AC39" s="78"/>
    </row>
    <row r="40" spans="1:29">
      <c r="A40" s="5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35" t="s">
        <v>139</v>
      </c>
      <c r="N40" s="195" t="s">
        <v>493</v>
      </c>
      <c r="O40" s="195"/>
      <c r="P40" s="36"/>
      <c r="Q40" s="35">
        <f>4*14</f>
        <v>56</v>
      </c>
      <c r="R40" s="1147" t="s">
        <v>128</v>
      </c>
      <c r="S40" s="1148"/>
      <c r="T40" s="1349">
        <v>92363</v>
      </c>
      <c r="U40" s="1350"/>
      <c r="V40" s="1346">
        <f>Q40*T40</f>
        <v>5172328</v>
      </c>
      <c r="W40" s="1347"/>
      <c r="X40" s="1348"/>
      <c r="AA40" s="78"/>
      <c r="AB40" s="78"/>
      <c r="AC40" s="78"/>
    </row>
    <row r="41" spans="1:29">
      <c r="A41" s="5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35" t="s">
        <v>447</v>
      </c>
      <c r="N41" s="195" t="s">
        <v>501</v>
      </c>
      <c r="O41" s="195"/>
      <c r="P41" s="36"/>
      <c r="Q41" s="35">
        <f>11*14</f>
        <v>154</v>
      </c>
      <c r="R41" s="1147" t="s">
        <v>128</v>
      </c>
      <c r="S41" s="1148"/>
      <c r="T41" s="1349">
        <v>69445</v>
      </c>
      <c r="U41" s="1350"/>
      <c r="V41" s="1346">
        <f>Q41*T41</f>
        <v>10694530</v>
      </c>
      <c r="W41" s="1347"/>
      <c r="X41" s="1348"/>
      <c r="AA41" s="78"/>
      <c r="AB41" s="78"/>
      <c r="AC41" s="78"/>
    </row>
    <row r="42" spans="1:29">
      <c r="A42" s="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35" t="s">
        <v>449</v>
      </c>
      <c r="N42" s="195" t="s">
        <v>499</v>
      </c>
      <c r="O42" s="195"/>
      <c r="P42" s="36"/>
      <c r="Q42" s="35">
        <f>5*14</f>
        <v>70</v>
      </c>
      <c r="R42" s="1147" t="s">
        <v>128</v>
      </c>
      <c r="S42" s="1148"/>
      <c r="T42" s="1349">
        <v>50738</v>
      </c>
      <c r="U42" s="1350"/>
      <c r="V42" s="1346">
        <f>Q42*T42</f>
        <v>3551660</v>
      </c>
      <c r="W42" s="1347"/>
      <c r="X42" s="1348"/>
      <c r="AA42" s="78"/>
      <c r="AB42" s="78"/>
      <c r="AC42" s="78"/>
    </row>
    <row r="43" spans="1:29">
      <c r="A43" s="5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35" t="s">
        <v>448</v>
      </c>
      <c r="N43" s="195" t="s">
        <v>492</v>
      </c>
      <c r="O43" s="195"/>
      <c r="P43" s="36"/>
      <c r="Q43" s="35">
        <v>14</v>
      </c>
      <c r="R43" s="1147" t="s">
        <v>128</v>
      </c>
      <c r="S43" s="1148"/>
      <c r="T43" s="1349">
        <v>39516</v>
      </c>
      <c r="U43" s="1350"/>
      <c r="V43" s="1346">
        <f>Q43*T43</f>
        <v>553224</v>
      </c>
      <c r="W43" s="1347"/>
      <c r="X43" s="1348"/>
      <c r="AA43" s="78"/>
      <c r="AB43" s="78"/>
      <c r="AC43" s="78"/>
    </row>
    <row r="44" spans="1:29">
      <c r="A44" s="5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35" t="s">
        <v>110</v>
      </c>
      <c r="N44" s="195"/>
      <c r="O44" s="195"/>
      <c r="P44" s="36"/>
      <c r="Q44" s="35"/>
      <c r="R44" s="35"/>
      <c r="S44" s="36"/>
      <c r="T44" s="60"/>
      <c r="U44" s="60"/>
      <c r="V44" s="1343">
        <f>V40+V41+V42+V43</f>
        <v>19971742</v>
      </c>
      <c r="W44" s="1344"/>
      <c r="X44" s="1345"/>
      <c r="AA44" s="78"/>
      <c r="AB44" s="78"/>
      <c r="AC44" s="78"/>
    </row>
    <row r="45" spans="1:29">
      <c r="A45" s="5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35" t="s">
        <v>132</v>
      </c>
      <c r="N45" s="195"/>
      <c r="O45" s="195"/>
      <c r="P45" s="36"/>
      <c r="Q45" s="35"/>
      <c r="R45" s="35"/>
      <c r="S45" s="36"/>
      <c r="T45" s="60"/>
      <c r="U45" s="60"/>
      <c r="V45" s="1343">
        <f>20663000-V44</f>
        <v>691258</v>
      </c>
      <c r="W45" s="1344"/>
      <c r="X45" s="1345"/>
      <c r="AA45" s="78"/>
      <c r="AB45" s="78"/>
      <c r="AC45" s="78"/>
    </row>
    <row r="46" spans="1:29">
      <c r="A46" s="5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35"/>
      <c r="N46" s="195"/>
      <c r="O46" s="195"/>
      <c r="P46" s="36"/>
      <c r="Q46" s="35"/>
      <c r="R46" s="35"/>
      <c r="S46" s="36"/>
      <c r="T46" s="60"/>
      <c r="U46" s="60"/>
      <c r="V46" s="277"/>
      <c r="W46" s="278"/>
      <c r="X46" s="279"/>
      <c r="AA46" s="78"/>
      <c r="AB46" s="78"/>
      <c r="AC46" s="78"/>
    </row>
    <row r="47" spans="1:29">
      <c r="A47" s="1329" t="s">
        <v>455</v>
      </c>
      <c r="B47" s="1278"/>
      <c r="C47" s="1278"/>
      <c r="D47" s="1278"/>
      <c r="E47" s="1278"/>
      <c r="F47" s="1278"/>
      <c r="G47" s="1278"/>
      <c r="H47" s="1278"/>
      <c r="I47" s="1278"/>
      <c r="J47" s="1278"/>
      <c r="K47" s="1278"/>
      <c r="L47" s="1278"/>
      <c r="M47" s="35" t="s">
        <v>136</v>
      </c>
      <c r="N47" s="195"/>
      <c r="O47" s="195"/>
      <c r="P47" s="36"/>
      <c r="Q47" s="35"/>
      <c r="R47" s="35"/>
      <c r="S47" s="36"/>
      <c r="T47" s="60"/>
      <c r="U47" s="60"/>
      <c r="V47" s="1330">
        <f>V50+V51</f>
        <v>49536000</v>
      </c>
      <c r="W47" s="1331"/>
      <c r="X47" s="1332"/>
      <c r="AA47" s="78">
        <f>V47/14</f>
        <v>3538285.7142857141</v>
      </c>
      <c r="AB47" s="78"/>
      <c r="AC47" s="78"/>
    </row>
    <row r="48" spans="1:29">
      <c r="A48" s="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36"/>
      <c r="M48" s="35" t="s">
        <v>137</v>
      </c>
      <c r="N48" s="195" t="s">
        <v>492</v>
      </c>
      <c r="O48" s="195"/>
      <c r="P48" s="36"/>
      <c r="Q48" s="35">
        <v>14</v>
      </c>
      <c r="R48" s="1147" t="s">
        <v>128</v>
      </c>
      <c r="S48" s="1148"/>
      <c r="T48" s="1349">
        <v>1260000</v>
      </c>
      <c r="U48" s="1350"/>
      <c r="V48" s="1349">
        <f t="shared" ref="V48:V56" si="0">Q48*T48</f>
        <v>17640000</v>
      </c>
      <c r="W48" s="1352"/>
      <c r="X48" s="1353"/>
      <c r="AA48" s="78"/>
      <c r="AB48" s="78"/>
      <c r="AC48" s="78"/>
    </row>
    <row r="49" spans="1:29">
      <c r="A49" s="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36"/>
      <c r="M49" s="35" t="s">
        <v>138</v>
      </c>
      <c r="N49" s="195" t="s">
        <v>493</v>
      </c>
      <c r="O49" s="195"/>
      <c r="P49" s="36"/>
      <c r="Q49" s="35">
        <f>4*14</f>
        <v>56</v>
      </c>
      <c r="R49" s="1147" t="s">
        <v>128</v>
      </c>
      <c r="S49" s="1148"/>
      <c r="T49" s="1349">
        <v>540000</v>
      </c>
      <c r="U49" s="1350"/>
      <c r="V49" s="1349">
        <f t="shared" si="0"/>
        <v>30240000</v>
      </c>
      <c r="W49" s="1352"/>
      <c r="X49" s="1353"/>
      <c r="AA49" s="78"/>
      <c r="AB49" s="78"/>
      <c r="AC49" s="78"/>
    </row>
    <row r="50" spans="1:29">
      <c r="A50" s="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36"/>
      <c r="M50" s="35" t="s">
        <v>110</v>
      </c>
      <c r="N50" s="195"/>
      <c r="O50" s="195"/>
      <c r="P50" s="36"/>
      <c r="Q50" s="35"/>
      <c r="R50" s="35"/>
      <c r="S50" s="36"/>
      <c r="T50" s="60"/>
      <c r="U50" s="60"/>
      <c r="V50" s="1349">
        <f>SUM(V48:X49)</f>
        <v>47880000</v>
      </c>
      <c r="W50" s="1352"/>
      <c r="X50" s="1353"/>
      <c r="AA50" s="78"/>
      <c r="AB50" s="78"/>
      <c r="AC50" s="78"/>
    </row>
    <row r="51" spans="1:29">
      <c r="A51" s="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36"/>
      <c r="M51" s="35" t="s">
        <v>132</v>
      </c>
      <c r="N51" s="195"/>
      <c r="O51" s="195"/>
      <c r="P51" s="36"/>
      <c r="Q51" s="35"/>
      <c r="R51" s="35"/>
      <c r="S51" s="36"/>
      <c r="T51" s="60"/>
      <c r="U51" s="60"/>
      <c r="V51" s="1349">
        <f>49536000-V50</f>
        <v>1656000</v>
      </c>
      <c r="W51" s="1352"/>
      <c r="X51" s="1353"/>
      <c r="AA51" s="78"/>
      <c r="AB51" s="78"/>
      <c r="AC51" s="78"/>
    </row>
    <row r="52" spans="1:29">
      <c r="A52" s="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36"/>
      <c r="M52" s="35"/>
      <c r="N52" s="195"/>
      <c r="O52" s="195"/>
      <c r="P52" s="36"/>
      <c r="Q52" s="35"/>
      <c r="R52" s="35"/>
      <c r="S52" s="36"/>
      <c r="T52" s="60"/>
      <c r="U52" s="60"/>
      <c r="V52" s="1349"/>
      <c r="W52" s="1352"/>
      <c r="X52" s="1353"/>
      <c r="AA52" s="78"/>
      <c r="AB52" s="78"/>
      <c r="AC52" s="78"/>
    </row>
    <row r="53" spans="1:29">
      <c r="A53" s="1329" t="s">
        <v>456</v>
      </c>
      <c r="B53" s="1278"/>
      <c r="C53" s="1278"/>
      <c r="D53" s="1278"/>
      <c r="E53" s="1278"/>
      <c r="F53" s="1278"/>
      <c r="G53" s="1278"/>
      <c r="H53" s="1278"/>
      <c r="I53" s="1278"/>
      <c r="J53" s="1278"/>
      <c r="K53" s="1278"/>
      <c r="L53" s="1278"/>
      <c r="M53" s="35" t="s">
        <v>376</v>
      </c>
      <c r="N53" s="195"/>
      <c r="O53" s="195"/>
      <c r="P53" s="36"/>
      <c r="Q53" s="35"/>
      <c r="R53" s="35"/>
      <c r="S53" s="36"/>
      <c r="T53" s="60"/>
      <c r="U53" s="60"/>
      <c r="V53" s="1330">
        <f>V57+V58</f>
        <v>44080000</v>
      </c>
      <c r="W53" s="1331"/>
      <c r="X53" s="1332"/>
      <c r="AA53" s="78">
        <f>V53/14</f>
        <v>3148571.4285714286</v>
      </c>
      <c r="AB53" s="78">
        <f>Y53*AA53</f>
        <v>0</v>
      </c>
    </row>
    <row r="54" spans="1:29">
      <c r="A54" s="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36"/>
      <c r="M54" s="35" t="s">
        <v>129</v>
      </c>
      <c r="N54" s="195" t="s">
        <v>509</v>
      </c>
      <c r="O54" s="195"/>
      <c r="P54" s="36"/>
      <c r="Q54" s="35">
        <f>14*10</f>
        <v>140</v>
      </c>
      <c r="R54" s="1147" t="s">
        <v>128</v>
      </c>
      <c r="S54" s="1148"/>
      <c r="T54" s="1349">
        <v>185000</v>
      </c>
      <c r="U54" s="1350"/>
      <c r="V54" s="1349">
        <f t="shared" si="0"/>
        <v>25900000</v>
      </c>
      <c r="W54" s="1352"/>
      <c r="X54" s="1353"/>
    </row>
    <row r="55" spans="1:29">
      <c r="A55" s="5"/>
      <c r="B55" s="61"/>
      <c r="C55" s="45"/>
      <c r="D55" s="61"/>
      <c r="E55" s="61"/>
      <c r="F55" s="61"/>
      <c r="G55" s="61"/>
      <c r="H55" s="45"/>
      <c r="I55" s="45"/>
      <c r="J55" s="45"/>
      <c r="K55" s="57"/>
      <c r="L55" s="62"/>
      <c r="M55" s="35" t="s">
        <v>130</v>
      </c>
      <c r="N55" s="195" t="s">
        <v>493</v>
      </c>
      <c r="O55" s="195"/>
      <c r="P55" s="36"/>
      <c r="Q55" s="35">
        <f>4*14</f>
        <v>56</v>
      </c>
      <c r="R55" s="1147" t="s">
        <v>128</v>
      </c>
      <c r="S55" s="1148"/>
      <c r="T55" s="1349">
        <v>180000</v>
      </c>
      <c r="U55" s="1350"/>
      <c r="V55" s="1349">
        <f t="shared" si="0"/>
        <v>10080000</v>
      </c>
      <c r="W55" s="1352"/>
      <c r="X55" s="1353"/>
    </row>
    <row r="56" spans="1:29">
      <c r="A56" s="5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36"/>
      <c r="M56" s="35" t="s">
        <v>134</v>
      </c>
      <c r="N56" s="195" t="s">
        <v>492</v>
      </c>
      <c r="O56" s="195"/>
      <c r="P56" s="36"/>
      <c r="Q56" s="35">
        <v>14</v>
      </c>
      <c r="R56" s="1147" t="s">
        <v>128</v>
      </c>
      <c r="S56" s="1148"/>
      <c r="T56" s="1349">
        <v>175000</v>
      </c>
      <c r="U56" s="1350"/>
      <c r="V56" s="1349">
        <f t="shared" si="0"/>
        <v>2450000</v>
      </c>
      <c r="W56" s="1352"/>
      <c r="X56" s="1353"/>
    </row>
    <row r="57" spans="1:29">
      <c r="A57" s="5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36"/>
      <c r="M57" s="35" t="s">
        <v>110</v>
      </c>
      <c r="N57" s="195"/>
      <c r="O57" s="195"/>
      <c r="P57" s="36"/>
      <c r="Q57" s="35"/>
      <c r="R57" s="35"/>
      <c r="S57" s="36"/>
      <c r="T57" s="60"/>
      <c r="U57" s="60"/>
      <c r="V57" s="1349">
        <f>SUM(V54:X56)</f>
        <v>38430000</v>
      </c>
      <c r="W57" s="1352"/>
      <c r="X57" s="1353"/>
    </row>
    <row r="58" spans="1:29">
      <c r="A58" s="5"/>
      <c r="B58" s="57"/>
      <c r="C58" s="195"/>
      <c r="D58" s="57"/>
      <c r="E58" s="57"/>
      <c r="F58" s="61"/>
      <c r="G58" s="61"/>
      <c r="H58" s="195"/>
      <c r="I58" s="195"/>
      <c r="J58" s="195"/>
      <c r="K58" s="57"/>
      <c r="L58" s="62"/>
      <c r="M58" s="35" t="s">
        <v>132</v>
      </c>
      <c r="N58" s="195"/>
      <c r="O58" s="195"/>
      <c r="P58" s="36"/>
      <c r="Q58" s="35"/>
      <c r="R58" s="35"/>
      <c r="S58" s="36"/>
      <c r="T58" s="60"/>
      <c r="U58" s="60"/>
      <c r="V58" s="1349">
        <f>37080000-V57+7000000</f>
        <v>5650000</v>
      </c>
      <c r="W58" s="1352"/>
      <c r="X58" s="1353"/>
    </row>
    <row r="59" spans="1:29" ht="15.75" thickBot="1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50"/>
      <c r="N59" s="49"/>
      <c r="O59" s="49"/>
      <c r="P59" s="49"/>
      <c r="Q59" s="50"/>
      <c r="R59" s="141"/>
      <c r="S59" s="245"/>
      <c r="T59" s="141"/>
      <c r="U59" s="245"/>
      <c r="V59" s="141"/>
      <c r="W59" s="245"/>
      <c r="X59" s="246"/>
    </row>
    <row r="60" spans="1:29">
      <c r="A60" s="195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241"/>
      <c r="S60" s="241"/>
      <c r="T60" s="241"/>
      <c r="U60" s="241"/>
      <c r="V60" s="241"/>
      <c r="W60" s="241"/>
      <c r="X60" s="241"/>
    </row>
    <row r="61" spans="1:29">
      <c r="A61" s="195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241"/>
      <c r="S61" s="241"/>
      <c r="T61" s="241"/>
      <c r="U61" s="241"/>
      <c r="V61" s="241"/>
      <c r="W61" s="241"/>
      <c r="X61" s="241"/>
    </row>
    <row r="62" spans="1:29">
      <c r="A62" s="195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241"/>
      <c r="S62" s="241"/>
      <c r="T62" s="241"/>
      <c r="U62" s="241"/>
      <c r="V62" s="241"/>
      <c r="W62" s="241"/>
      <c r="X62" s="241"/>
    </row>
    <row r="63" spans="1:29">
      <c r="A63" s="195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241"/>
      <c r="S63" s="241"/>
      <c r="T63" s="241"/>
      <c r="U63" s="241"/>
      <c r="V63" s="241"/>
      <c r="W63" s="241"/>
      <c r="X63" s="241"/>
    </row>
    <row r="64" spans="1:29">
      <c r="A64" s="195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241"/>
      <c r="S64" s="241"/>
      <c r="T64" s="241"/>
      <c r="U64" s="241"/>
      <c r="V64" s="241"/>
      <c r="W64" s="241"/>
      <c r="X64" s="241"/>
    </row>
    <row r="65" spans="1:27">
      <c r="A65" s="195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241"/>
      <c r="S65" s="241"/>
      <c r="T65" s="241"/>
      <c r="U65" s="241"/>
      <c r="V65" s="241"/>
      <c r="W65" s="241"/>
      <c r="X65" s="241"/>
    </row>
    <row r="66" spans="1:27">
      <c r="A66" s="195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241"/>
      <c r="S66" s="241"/>
      <c r="T66" s="241"/>
      <c r="U66" s="241"/>
      <c r="V66" s="241"/>
      <c r="W66" s="241"/>
      <c r="X66" s="241"/>
    </row>
    <row r="67" spans="1:27">
      <c r="A67" s="195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241"/>
      <c r="S67" s="241"/>
      <c r="T67" s="241"/>
      <c r="U67" s="241"/>
      <c r="V67" s="241"/>
      <c r="W67" s="241"/>
      <c r="X67" s="241"/>
    </row>
    <row r="68" spans="1:27">
      <c r="A68" s="195"/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241"/>
      <c r="S68" s="241"/>
      <c r="T68" s="241"/>
      <c r="U68" s="241"/>
      <c r="V68" s="241"/>
      <c r="W68" s="241"/>
      <c r="X68" s="241"/>
    </row>
    <row r="69" spans="1:27">
      <c r="A69" s="195"/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241"/>
      <c r="S69" s="241"/>
      <c r="T69" s="241"/>
      <c r="U69" s="241"/>
      <c r="V69" s="241"/>
      <c r="W69" s="241"/>
      <c r="X69" s="241"/>
    </row>
    <row r="70" spans="1:27">
      <c r="A70" s="195"/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241"/>
      <c r="S70" s="241"/>
      <c r="T70" s="241"/>
      <c r="U70" s="241"/>
      <c r="V70" s="241"/>
      <c r="W70" s="241"/>
      <c r="X70" s="241"/>
    </row>
    <row r="71" spans="1:27">
      <c r="A71" s="195"/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241"/>
      <c r="S71" s="241"/>
      <c r="T71" s="241"/>
      <c r="U71" s="241"/>
      <c r="V71" s="241"/>
      <c r="W71" s="241"/>
      <c r="X71" s="241"/>
    </row>
    <row r="72" spans="1:27">
      <c r="A72" s="195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241"/>
      <c r="S72" s="241"/>
      <c r="T72" s="241"/>
      <c r="U72" s="241"/>
      <c r="V72" s="241"/>
      <c r="W72" s="241"/>
      <c r="X72" s="241"/>
    </row>
    <row r="73" spans="1:27">
      <c r="A73" s="195"/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241"/>
      <c r="S73" s="241"/>
      <c r="T73" s="241"/>
      <c r="U73" s="241"/>
      <c r="V73" s="241"/>
      <c r="W73" s="241"/>
      <c r="X73" s="241"/>
    </row>
    <row r="74" spans="1:27" ht="15.75" thickBot="1">
      <c r="A74" s="195"/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241"/>
      <c r="S74" s="241"/>
      <c r="T74" s="241"/>
      <c r="U74" s="241"/>
      <c r="V74" s="241"/>
      <c r="W74" s="241"/>
      <c r="X74" s="241"/>
    </row>
    <row r="75" spans="1:27">
      <c r="A75" s="94"/>
      <c r="B75" s="145"/>
      <c r="C75" s="65"/>
      <c r="D75" s="145"/>
      <c r="E75" s="145"/>
      <c r="F75" s="146"/>
      <c r="G75" s="146"/>
      <c r="H75" s="65"/>
      <c r="I75" s="65"/>
      <c r="J75" s="65"/>
      <c r="K75" s="145"/>
      <c r="L75" s="145"/>
      <c r="M75" s="51"/>
      <c r="N75" s="65"/>
      <c r="O75" s="65"/>
      <c r="P75" s="123"/>
      <c r="Q75" s="51"/>
      <c r="R75" s="51"/>
      <c r="S75" s="123"/>
      <c r="T75" s="124"/>
      <c r="U75" s="124"/>
      <c r="V75" s="147"/>
      <c r="W75" s="148"/>
      <c r="X75" s="149"/>
    </row>
    <row r="76" spans="1:27">
      <c r="A76" s="1329" t="s">
        <v>457</v>
      </c>
      <c r="B76" s="1278"/>
      <c r="C76" s="1278"/>
      <c r="D76" s="1278"/>
      <c r="E76" s="1278"/>
      <c r="F76" s="1278"/>
      <c r="G76" s="1278"/>
      <c r="H76" s="1278"/>
      <c r="I76" s="1278"/>
      <c r="J76" s="1278"/>
      <c r="K76" s="1278"/>
      <c r="L76" s="1278"/>
      <c r="M76" s="35" t="s">
        <v>140</v>
      </c>
      <c r="N76" s="195"/>
      <c r="O76" s="195"/>
      <c r="P76" s="36"/>
      <c r="Q76" s="35"/>
      <c r="R76" s="35"/>
      <c r="S76" s="36"/>
      <c r="T76" s="60"/>
      <c r="U76" s="60"/>
      <c r="V76" s="1330">
        <f>V81+V82</f>
        <v>51249000</v>
      </c>
      <c r="W76" s="1331"/>
      <c r="X76" s="1332"/>
      <c r="AA76" s="78">
        <f>V76/12</f>
        <v>4270750</v>
      </c>
    </row>
    <row r="77" spans="1:27">
      <c r="A77" s="5"/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36"/>
      <c r="M77" s="35" t="s">
        <v>135</v>
      </c>
      <c r="N77" s="195" t="s">
        <v>505</v>
      </c>
      <c r="O77" s="195"/>
      <c r="P77" s="36"/>
      <c r="Q77" s="35">
        <f>10*12</f>
        <v>120</v>
      </c>
      <c r="R77" s="1147" t="s">
        <v>128</v>
      </c>
      <c r="S77" s="1148"/>
      <c r="T77" s="1349">
        <v>72420</v>
      </c>
      <c r="U77" s="1350"/>
      <c r="V77" s="1349">
        <f>Q77*T77</f>
        <v>8690400</v>
      </c>
      <c r="W77" s="1352"/>
      <c r="X77" s="1353"/>
    </row>
    <row r="78" spans="1:27">
      <c r="A78" s="5"/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36"/>
      <c r="M78" s="35" t="s">
        <v>129</v>
      </c>
      <c r="N78" s="195" t="s">
        <v>504</v>
      </c>
      <c r="O78" s="195"/>
      <c r="P78" s="36"/>
      <c r="Q78" s="35">
        <f>32*12</f>
        <v>384</v>
      </c>
      <c r="R78" s="1147" t="s">
        <v>128</v>
      </c>
      <c r="S78" s="1148"/>
      <c r="T78" s="1349">
        <v>72420</v>
      </c>
      <c r="U78" s="1350"/>
      <c r="V78" s="1349">
        <f>Q78*T78</f>
        <v>27809280</v>
      </c>
      <c r="W78" s="1352"/>
      <c r="X78" s="1353"/>
    </row>
    <row r="79" spans="1:27">
      <c r="A79" s="5"/>
      <c r="B79" s="61"/>
      <c r="C79" s="45"/>
      <c r="D79" s="61"/>
      <c r="E79" s="61"/>
      <c r="F79" s="61"/>
      <c r="G79" s="61"/>
      <c r="H79" s="45"/>
      <c r="I79" s="45"/>
      <c r="J79" s="45"/>
      <c r="K79" s="57"/>
      <c r="L79" s="62"/>
      <c r="M79" s="35" t="s">
        <v>130</v>
      </c>
      <c r="N79" s="195" t="s">
        <v>503</v>
      </c>
      <c r="O79" s="195"/>
      <c r="P79" s="36"/>
      <c r="Q79" s="35">
        <f>12*12</f>
        <v>144</v>
      </c>
      <c r="R79" s="1147" t="s">
        <v>128</v>
      </c>
      <c r="S79" s="1148"/>
      <c r="T79" s="1349">
        <v>72420</v>
      </c>
      <c r="U79" s="1350"/>
      <c r="V79" s="1349">
        <f>Q79*T79</f>
        <v>10428480</v>
      </c>
      <c r="W79" s="1352"/>
      <c r="X79" s="1353"/>
    </row>
    <row r="80" spans="1:27">
      <c r="A80" s="5"/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36"/>
      <c r="M80" s="35" t="s">
        <v>141</v>
      </c>
      <c r="N80" s="195" t="s">
        <v>502</v>
      </c>
      <c r="O80" s="195"/>
      <c r="P80" s="36"/>
      <c r="Q80" s="35">
        <f>3*12</f>
        <v>36</v>
      </c>
      <c r="R80" s="1147" t="s">
        <v>128</v>
      </c>
      <c r="S80" s="1148"/>
      <c r="T80" s="1349">
        <v>72420</v>
      </c>
      <c r="U80" s="1350"/>
      <c r="V80" s="1349">
        <f>Q80*T80</f>
        <v>2607120</v>
      </c>
      <c r="W80" s="1352"/>
      <c r="X80" s="1353"/>
    </row>
    <row r="81" spans="1:28">
      <c r="A81" s="5"/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36"/>
      <c r="M81" s="35" t="s">
        <v>110</v>
      </c>
      <c r="N81" s="195"/>
      <c r="O81" s="195"/>
      <c r="P81" s="36"/>
      <c r="Q81" s="35"/>
      <c r="R81" s="35"/>
      <c r="S81" s="36"/>
      <c r="T81" s="60"/>
      <c r="U81" s="60"/>
      <c r="V81" s="1349">
        <f>SUM(V77:X80)</f>
        <v>49535280</v>
      </c>
      <c r="W81" s="1352"/>
      <c r="X81" s="1353"/>
    </row>
    <row r="82" spans="1:28">
      <c r="A82" s="5"/>
      <c r="B82" s="57"/>
      <c r="C82" s="195"/>
      <c r="D82" s="57"/>
      <c r="E82" s="57"/>
      <c r="F82" s="61"/>
      <c r="G82" s="61"/>
      <c r="H82" s="195"/>
      <c r="I82" s="195"/>
      <c r="J82" s="195"/>
      <c r="K82" s="57"/>
      <c r="L82" s="62"/>
      <c r="M82" s="35" t="s">
        <v>132</v>
      </c>
      <c r="N82" s="195"/>
      <c r="O82" s="195"/>
      <c r="P82" s="36"/>
      <c r="Q82" s="35"/>
      <c r="R82" s="35"/>
      <c r="S82" s="36"/>
      <c r="T82" s="60"/>
      <c r="U82" s="60"/>
      <c r="V82" s="1349">
        <f>51249000-V81</f>
        <v>1713720</v>
      </c>
      <c r="W82" s="1352"/>
      <c r="X82" s="1353"/>
    </row>
    <row r="83" spans="1:28">
      <c r="A83" s="5"/>
      <c r="B83" s="57"/>
      <c r="C83" s="195"/>
      <c r="D83" s="57"/>
      <c r="E83" s="57"/>
      <c r="F83" s="61"/>
      <c r="G83" s="61"/>
      <c r="H83" s="195"/>
      <c r="I83" s="195"/>
      <c r="J83" s="195"/>
      <c r="K83" s="57"/>
      <c r="L83" s="62"/>
      <c r="M83" s="35"/>
      <c r="N83" s="195"/>
      <c r="O83" s="195"/>
      <c r="P83" s="36"/>
      <c r="Q83" s="35"/>
      <c r="R83" s="35"/>
      <c r="S83" s="36"/>
      <c r="T83" s="60"/>
      <c r="U83" s="60"/>
      <c r="V83" s="64"/>
      <c r="W83" s="60"/>
      <c r="X83" s="47"/>
    </row>
    <row r="84" spans="1:28">
      <c r="A84" s="1329" t="s">
        <v>458</v>
      </c>
      <c r="B84" s="1278"/>
      <c r="C84" s="1278"/>
      <c r="D84" s="1278"/>
      <c r="E84" s="1278"/>
      <c r="F84" s="1278"/>
      <c r="G84" s="1278"/>
      <c r="H84" s="1278"/>
      <c r="I84" s="1278"/>
      <c r="J84" s="1278"/>
      <c r="K84" s="1278"/>
      <c r="L84" s="1278"/>
      <c r="M84" s="35" t="s">
        <v>142</v>
      </c>
      <c r="N84" s="195"/>
      <c r="O84" s="195"/>
      <c r="P84" s="195"/>
      <c r="Q84" s="35"/>
      <c r="R84" s="35"/>
      <c r="S84" s="195"/>
      <c r="T84" s="64"/>
      <c r="U84" s="60"/>
      <c r="V84" s="1330">
        <v>15289000</v>
      </c>
      <c r="W84" s="1331"/>
      <c r="X84" s="1332"/>
      <c r="AA84" s="78">
        <f>V84/14</f>
        <v>1092071.4285714286</v>
      </c>
    </row>
    <row r="85" spans="1:28">
      <c r="A85" s="1329" t="s">
        <v>459</v>
      </c>
      <c r="B85" s="1278"/>
      <c r="C85" s="1278"/>
      <c r="D85" s="1278"/>
      <c r="E85" s="1278"/>
      <c r="F85" s="1278"/>
      <c r="G85" s="1278"/>
      <c r="H85" s="1278"/>
      <c r="I85" s="1278"/>
      <c r="J85" s="1278"/>
      <c r="K85" s="1278"/>
      <c r="L85" s="1278"/>
      <c r="M85" s="35" t="s">
        <v>143</v>
      </c>
      <c r="N85" s="195"/>
      <c r="O85" s="195"/>
      <c r="P85" s="195"/>
      <c r="Q85" s="35"/>
      <c r="R85" s="35"/>
      <c r="S85" s="195"/>
      <c r="T85" s="64"/>
      <c r="U85" s="60"/>
      <c r="V85" s="1330">
        <v>114000</v>
      </c>
      <c r="W85" s="1331"/>
      <c r="X85" s="1332"/>
      <c r="AA85" s="78">
        <f>V85/14</f>
        <v>8142.8571428571431</v>
      </c>
    </row>
    <row r="86" spans="1:28">
      <c r="A86" s="5"/>
      <c r="B86" s="57"/>
      <c r="C86" s="195"/>
      <c r="D86" s="57"/>
      <c r="E86" s="57"/>
      <c r="F86" s="61"/>
      <c r="G86" s="61"/>
      <c r="H86" s="195"/>
      <c r="I86" s="195"/>
      <c r="J86" s="195"/>
      <c r="K86" s="57"/>
      <c r="L86" s="57"/>
      <c r="M86" s="35"/>
      <c r="N86" s="195"/>
      <c r="O86" s="195"/>
      <c r="P86" s="195"/>
      <c r="Q86" s="35"/>
      <c r="R86" s="35"/>
      <c r="S86" s="195"/>
      <c r="T86" s="64"/>
      <c r="U86" s="60"/>
      <c r="V86" s="64"/>
      <c r="W86" s="60"/>
      <c r="X86" s="47"/>
    </row>
    <row r="87" spans="1:28">
      <c r="A87" s="1354" t="s">
        <v>435</v>
      </c>
      <c r="B87" s="1355"/>
      <c r="C87" s="1355"/>
      <c r="D87" s="1355"/>
      <c r="E87" s="1355"/>
      <c r="F87" s="1355"/>
      <c r="G87" s="1355"/>
      <c r="H87" s="1355"/>
      <c r="I87" s="1355"/>
      <c r="J87" s="1355"/>
      <c r="K87" s="1355"/>
      <c r="L87" s="1356"/>
      <c r="M87" s="83" t="s">
        <v>146</v>
      </c>
      <c r="N87" s="84"/>
      <c r="O87" s="84"/>
      <c r="P87" s="85"/>
      <c r="Q87" s="83"/>
      <c r="R87" s="83"/>
      <c r="S87" s="85"/>
      <c r="T87" s="91"/>
      <c r="U87" s="91"/>
      <c r="V87" s="1330">
        <f>V88</f>
        <v>746772000</v>
      </c>
      <c r="W87" s="1331"/>
      <c r="X87" s="1332"/>
      <c r="AA87" s="78">
        <f>V87/12</f>
        <v>62231000</v>
      </c>
    </row>
    <row r="88" spans="1:28">
      <c r="A88" s="1329" t="s">
        <v>436</v>
      </c>
      <c r="B88" s="1278"/>
      <c r="C88" s="1278"/>
      <c r="D88" s="1278"/>
      <c r="E88" s="1278"/>
      <c r="F88" s="1278"/>
      <c r="G88" s="1278"/>
      <c r="H88" s="1278"/>
      <c r="I88" s="1278"/>
      <c r="J88" s="1278"/>
      <c r="K88" s="1278"/>
      <c r="L88" s="1351"/>
      <c r="M88" s="35" t="s">
        <v>147</v>
      </c>
      <c r="N88" s="195"/>
      <c r="O88" s="195"/>
      <c r="P88" s="36"/>
      <c r="Q88" s="35"/>
      <c r="R88" s="35"/>
      <c r="S88" s="36"/>
      <c r="T88" s="60"/>
      <c r="U88" s="60"/>
      <c r="V88" s="1349">
        <f>V90+V91+V92+V93</f>
        <v>746772000</v>
      </c>
      <c r="W88" s="1352"/>
      <c r="X88" s="1353"/>
    </row>
    <row r="89" spans="1:28">
      <c r="A89" s="5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36"/>
      <c r="M89" s="35" t="s">
        <v>148</v>
      </c>
      <c r="N89" s="195"/>
      <c r="O89" s="195"/>
      <c r="P89" s="36"/>
      <c r="Q89" s="35"/>
      <c r="R89" s="35"/>
      <c r="S89" s="36"/>
      <c r="T89" s="60"/>
      <c r="U89" s="60"/>
      <c r="V89" s="1349"/>
      <c r="W89" s="1352"/>
      <c r="X89" s="1353"/>
    </row>
    <row r="90" spans="1:28">
      <c r="A90" s="5"/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36"/>
      <c r="M90" s="35" t="s">
        <v>150</v>
      </c>
      <c r="N90" s="195" t="s">
        <v>149</v>
      </c>
      <c r="O90" s="195"/>
      <c r="P90" s="36"/>
      <c r="Q90" s="35">
        <v>12</v>
      </c>
      <c r="R90" s="35" t="s">
        <v>207</v>
      </c>
      <c r="S90" s="36"/>
      <c r="T90" s="1349">
        <v>4200000</v>
      </c>
      <c r="U90" s="1350"/>
      <c r="V90" s="1349">
        <f>Q90*T90</f>
        <v>50400000</v>
      </c>
      <c r="W90" s="1352"/>
      <c r="X90" s="1353"/>
      <c r="AA90" s="78">
        <f>AA87+AA85+AA84+AA76+AA53+AA47+AA30+AA18</f>
        <v>150227821.42857143</v>
      </c>
    </row>
    <row r="91" spans="1:28">
      <c r="A91" s="5"/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36"/>
      <c r="M91" s="35" t="s">
        <v>152</v>
      </c>
      <c r="N91" s="195" t="s">
        <v>151</v>
      </c>
      <c r="O91" s="195"/>
      <c r="P91" s="36"/>
      <c r="Q91" s="35">
        <f>4*12</f>
        <v>48</v>
      </c>
      <c r="R91" s="35" t="s">
        <v>207</v>
      </c>
      <c r="S91" s="36"/>
      <c r="T91" s="1349">
        <v>2500000</v>
      </c>
      <c r="U91" s="1350"/>
      <c r="V91" s="1349">
        <f>Q91*T91</f>
        <v>120000000</v>
      </c>
      <c r="W91" s="1352"/>
      <c r="X91" s="1353"/>
      <c r="AA91" s="78"/>
    </row>
    <row r="92" spans="1:28">
      <c r="A92" s="5"/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36"/>
      <c r="M92" s="93" t="s">
        <v>153</v>
      </c>
      <c r="N92" s="66" t="s">
        <v>450</v>
      </c>
      <c r="O92" s="195"/>
      <c r="P92" s="36"/>
      <c r="Q92" s="35">
        <f>15*12</f>
        <v>180</v>
      </c>
      <c r="R92" s="35"/>
      <c r="S92" s="36"/>
      <c r="T92" s="1349">
        <v>1400000</v>
      </c>
      <c r="U92" s="1350"/>
      <c r="V92" s="1349">
        <f>Q92*T92</f>
        <v>252000000</v>
      </c>
      <c r="W92" s="1352"/>
      <c r="X92" s="1353"/>
    </row>
    <row r="93" spans="1:28">
      <c r="A93" s="5"/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36"/>
      <c r="M93" s="35" t="s">
        <v>132</v>
      </c>
      <c r="N93" s="195"/>
      <c r="O93" s="195"/>
      <c r="P93" s="36"/>
      <c r="Q93" s="35"/>
      <c r="R93" s="35"/>
      <c r="S93" s="36"/>
      <c r="T93" s="60"/>
      <c r="U93" s="60"/>
      <c r="V93" s="1349">
        <f>746772000-V92-V91-V90</f>
        <v>324372000</v>
      </c>
      <c r="W93" s="1352"/>
      <c r="X93" s="1353"/>
      <c r="AA93" s="78">
        <f>AA90*3</f>
        <v>450683464.28571427</v>
      </c>
      <c r="AB93" s="78">
        <f>AA85+AA84+AA53+AA47+AA30+AA18</f>
        <v>83726071.428571418</v>
      </c>
    </row>
    <row r="94" spans="1:28">
      <c r="A94" s="5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36"/>
      <c r="M94" s="35"/>
      <c r="N94" s="195"/>
      <c r="O94" s="195"/>
      <c r="P94" s="36"/>
      <c r="Q94" s="35"/>
      <c r="R94" s="35"/>
      <c r="S94" s="36"/>
      <c r="T94" s="60"/>
      <c r="U94" s="60"/>
      <c r="V94" s="242"/>
      <c r="W94" s="243"/>
      <c r="X94" s="244"/>
      <c r="AB94" s="78">
        <f>AB93*2</f>
        <v>167452142.85714284</v>
      </c>
    </row>
    <row r="95" spans="1:28">
      <c r="A95" s="5"/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36"/>
      <c r="M95" s="35"/>
      <c r="N95" s="195"/>
      <c r="O95" s="195"/>
      <c r="P95" s="36"/>
      <c r="Q95" s="35"/>
      <c r="R95" s="35"/>
      <c r="S95" s="36"/>
      <c r="T95" s="60"/>
      <c r="U95" s="60"/>
      <c r="V95" s="242"/>
      <c r="W95" s="243"/>
      <c r="X95" s="244"/>
    </row>
    <row r="96" spans="1:28">
      <c r="A96" s="5"/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36"/>
      <c r="M96" s="63"/>
      <c r="N96" s="195"/>
      <c r="O96" s="195"/>
      <c r="P96" s="36"/>
      <c r="Q96" s="35"/>
      <c r="R96" s="35"/>
      <c r="S96" s="36"/>
      <c r="T96" s="60"/>
      <c r="U96" s="60"/>
      <c r="V96" s="64"/>
      <c r="W96" s="60"/>
      <c r="X96" s="47"/>
    </row>
    <row r="97" spans="1:28">
      <c r="A97" s="5"/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36"/>
      <c r="M97" s="63"/>
      <c r="N97" s="195"/>
      <c r="O97" s="195"/>
      <c r="P97" s="36"/>
      <c r="Q97" s="35"/>
      <c r="R97" s="35"/>
      <c r="S97" s="36"/>
      <c r="T97" s="195"/>
      <c r="U97" s="195"/>
      <c r="V97" s="35"/>
      <c r="W97" s="195"/>
      <c r="X97" s="2"/>
    </row>
    <row r="98" spans="1:28">
      <c r="A98" s="68"/>
      <c r="B98" s="3"/>
      <c r="C98" s="3"/>
      <c r="D98" s="3"/>
      <c r="E98" s="3"/>
      <c r="F98" s="3"/>
      <c r="G98" s="3"/>
      <c r="H98" s="3"/>
      <c r="I98" s="3"/>
      <c r="J98" s="3"/>
      <c r="K98" s="3"/>
      <c r="L98" s="34"/>
      <c r="M98" s="69"/>
      <c r="N98" s="3"/>
      <c r="O98" s="3"/>
      <c r="P98" s="34"/>
      <c r="Q98" s="33"/>
      <c r="R98" s="33"/>
      <c r="S98" s="34"/>
      <c r="T98" s="3"/>
      <c r="U98" s="3"/>
      <c r="V98" s="35"/>
      <c r="W98" s="195"/>
      <c r="X98" s="2"/>
    </row>
    <row r="99" spans="1:28" ht="15.75" thickBot="1">
      <c r="A99" s="139" t="s">
        <v>110</v>
      </c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367">
        <f>V87+V17</f>
        <v>1970186000</v>
      </c>
      <c r="W99" s="1368"/>
      <c r="X99" s="1369"/>
    </row>
    <row r="100" spans="1:28">
      <c r="A100" s="94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51"/>
      <c r="R100" s="65"/>
      <c r="S100" s="65"/>
      <c r="T100" s="65"/>
      <c r="U100" s="65"/>
      <c r="V100" s="65"/>
      <c r="W100" s="65"/>
      <c r="X100" s="52"/>
      <c r="AA100" s="78">
        <f>V85+V84+V53+V47+V30+V18</f>
        <v>1172165000</v>
      </c>
      <c r="AB100" s="78">
        <f>V17-V76</f>
        <v>1172165000</v>
      </c>
    </row>
    <row r="101" spans="1:28">
      <c r="A101" s="5" t="s">
        <v>105</v>
      </c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35"/>
      <c r="R101" s="1146" t="s">
        <v>438</v>
      </c>
      <c r="S101" s="1146"/>
      <c r="T101" s="1146"/>
      <c r="U101" s="1146"/>
      <c r="V101" s="1146"/>
      <c r="W101" s="1146"/>
      <c r="X101" s="1149"/>
      <c r="AA101" s="78">
        <f>AA100/14</f>
        <v>83726071.428571433</v>
      </c>
      <c r="AB101" s="78">
        <f>AB100/14</f>
        <v>83726071.428571433</v>
      </c>
    </row>
    <row r="102" spans="1:28">
      <c r="A102" s="5" t="s">
        <v>106</v>
      </c>
      <c r="B102" s="195"/>
      <c r="C102" s="195"/>
      <c r="D102" s="195"/>
      <c r="E102" s="195" t="s">
        <v>6</v>
      </c>
      <c r="F102" s="11" t="s">
        <v>154</v>
      </c>
      <c r="G102" s="195"/>
      <c r="H102" s="1352">
        <v>450683470</v>
      </c>
      <c r="I102" s="1352"/>
      <c r="J102" s="1352"/>
      <c r="K102" s="1352"/>
      <c r="L102" s="1352"/>
      <c r="M102" s="1352"/>
      <c r="N102" s="195"/>
      <c r="O102" s="195"/>
      <c r="P102" s="195"/>
      <c r="Q102" s="35"/>
      <c r="R102" s="1146" t="s">
        <v>439</v>
      </c>
      <c r="S102" s="1146"/>
      <c r="T102" s="1146"/>
      <c r="U102" s="1146"/>
      <c r="V102" s="1146"/>
      <c r="W102" s="1146"/>
      <c r="X102" s="1149"/>
      <c r="AA102" s="78">
        <f>V87+V76</f>
        <v>798021000</v>
      </c>
      <c r="AB102" s="78">
        <f>V76/12</f>
        <v>4270750</v>
      </c>
    </row>
    <row r="103" spans="1:28">
      <c r="A103" s="5" t="s">
        <v>107</v>
      </c>
      <c r="B103" s="195"/>
      <c r="C103" s="195"/>
      <c r="D103" s="195"/>
      <c r="E103" s="195" t="s">
        <v>6</v>
      </c>
      <c r="F103" s="11" t="s">
        <v>154</v>
      </c>
      <c r="G103" s="195"/>
      <c r="H103" s="1352">
        <f>450683465+83726075</f>
        <v>534409540</v>
      </c>
      <c r="I103" s="1352"/>
      <c r="J103" s="1352"/>
      <c r="K103" s="1352"/>
      <c r="L103" s="1352"/>
      <c r="M103" s="1352"/>
      <c r="N103" s="195"/>
      <c r="O103" s="195"/>
      <c r="P103" s="195"/>
      <c r="Q103" s="35"/>
      <c r="R103" s="195"/>
      <c r="S103" s="195"/>
      <c r="T103" s="195"/>
      <c r="U103" s="195"/>
      <c r="V103" s="195"/>
      <c r="W103" s="195"/>
      <c r="X103" s="2"/>
      <c r="AA103" s="78">
        <f>AA102/12</f>
        <v>66501750</v>
      </c>
      <c r="AB103" s="78">
        <f>AB101+AB102</f>
        <v>87996821.428571433</v>
      </c>
    </row>
    <row r="104" spans="1:28">
      <c r="A104" s="5" t="s">
        <v>108</v>
      </c>
      <c r="B104" s="195"/>
      <c r="C104" s="195"/>
      <c r="D104" s="195"/>
      <c r="E104" s="195" t="s">
        <v>6</v>
      </c>
      <c r="F104" s="11" t="s">
        <v>154</v>
      </c>
      <c r="G104" s="195"/>
      <c r="H104" s="1352">
        <f>450683460+83726075</f>
        <v>534409535</v>
      </c>
      <c r="I104" s="1352"/>
      <c r="J104" s="1352"/>
      <c r="K104" s="1352"/>
      <c r="L104" s="1352"/>
      <c r="M104" s="1352"/>
      <c r="N104" s="195"/>
      <c r="O104" s="195"/>
      <c r="P104" s="195"/>
      <c r="Q104" s="35"/>
      <c r="R104" s="195"/>
      <c r="S104" s="195"/>
      <c r="T104" s="195"/>
      <c r="U104" s="195"/>
      <c r="V104" s="195"/>
      <c r="W104" s="195"/>
      <c r="X104" s="2"/>
      <c r="AB104" s="78">
        <f>AB103*12</f>
        <v>1055961857.1428572</v>
      </c>
    </row>
    <row r="105" spans="1:28" ht="16.5">
      <c r="A105" s="5" t="s">
        <v>109</v>
      </c>
      <c r="B105" s="195"/>
      <c r="C105" s="195"/>
      <c r="D105" s="195"/>
      <c r="E105" s="195" t="s">
        <v>6</v>
      </c>
      <c r="F105" s="15" t="s">
        <v>154</v>
      </c>
      <c r="G105" s="195"/>
      <c r="H105" s="1363">
        <v>450683455</v>
      </c>
      <c r="I105" s="1363"/>
      <c r="J105" s="1363"/>
      <c r="K105" s="1363"/>
      <c r="L105" s="1363"/>
      <c r="M105" s="1363"/>
      <c r="N105" s="195"/>
      <c r="O105" s="195"/>
      <c r="P105" s="195"/>
      <c r="Q105" s="35"/>
      <c r="R105" s="195"/>
      <c r="S105" s="195"/>
      <c r="T105" s="195"/>
      <c r="U105" s="195"/>
      <c r="V105" s="195"/>
      <c r="W105" s="195"/>
      <c r="X105" s="2"/>
      <c r="AA105" s="78">
        <f>AA101+AA103*3</f>
        <v>283231321.42857146</v>
      </c>
      <c r="AB105" s="78">
        <f>V17-AB104</f>
        <v>167452142.85714281</v>
      </c>
    </row>
    <row r="106" spans="1:28">
      <c r="A106" s="5" t="s">
        <v>15</v>
      </c>
      <c r="B106" s="195"/>
      <c r="C106" s="195"/>
      <c r="D106" s="195"/>
      <c r="E106" s="195" t="s">
        <v>6</v>
      </c>
      <c r="F106" s="15" t="s">
        <v>154</v>
      </c>
      <c r="G106" s="195"/>
      <c r="H106" s="1352">
        <f>H102+H103+H104+H105</f>
        <v>1970186000</v>
      </c>
      <c r="I106" s="1352"/>
      <c r="J106" s="1352"/>
      <c r="K106" s="1352"/>
      <c r="L106" s="1352"/>
      <c r="M106" s="1352"/>
      <c r="N106" s="195"/>
      <c r="O106" s="195"/>
      <c r="P106" s="195"/>
      <c r="Q106" s="35"/>
      <c r="R106" s="1357" t="s">
        <v>440</v>
      </c>
      <c r="S106" s="1357"/>
      <c r="T106" s="1357"/>
      <c r="U106" s="1357"/>
      <c r="V106" s="1357"/>
      <c r="W106" s="1357"/>
      <c r="X106" s="1358"/>
      <c r="AA106" s="78">
        <f>AA105*3</f>
        <v>849693964.28571439</v>
      </c>
      <c r="AB106" s="78">
        <f>AA101*2</f>
        <v>167452142.85714287</v>
      </c>
    </row>
    <row r="107" spans="1:28">
      <c r="A107" s="5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35"/>
      <c r="R107" s="1146" t="s">
        <v>444</v>
      </c>
      <c r="S107" s="1146"/>
      <c r="T107" s="1146"/>
      <c r="U107" s="1146"/>
      <c r="V107" s="1146"/>
      <c r="W107" s="1146"/>
      <c r="X107" s="1149"/>
      <c r="AA107" s="78">
        <f>2392586000-AA106</f>
        <v>1542892035.7142856</v>
      </c>
      <c r="AB107" s="78">
        <f>AA105+AB106</f>
        <v>450683464.28571433</v>
      </c>
    </row>
    <row r="108" spans="1:28">
      <c r="A108" s="5"/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33"/>
      <c r="R108" s="1143" t="s">
        <v>441</v>
      </c>
      <c r="S108" s="1143"/>
      <c r="T108" s="1143"/>
      <c r="U108" s="1143"/>
      <c r="V108" s="1143"/>
      <c r="W108" s="1143"/>
      <c r="X108" s="1144"/>
      <c r="AA108" s="78">
        <f>AA101*5+AA103*3</f>
        <v>618135607.14285719</v>
      </c>
    </row>
    <row r="109" spans="1:28" ht="15.75" thickBot="1">
      <c r="A109" s="1364" t="s">
        <v>506</v>
      </c>
      <c r="B109" s="1365"/>
      <c r="C109" s="1365"/>
      <c r="D109" s="1365"/>
      <c r="E109" s="1365"/>
      <c r="F109" s="1365"/>
      <c r="G109" s="1365"/>
      <c r="H109" s="1365"/>
      <c r="I109" s="1365"/>
      <c r="J109" s="1365"/>
      <c r="K109" s="1365"/>
      <c r="L109" s="1365"/>
      <c r="M109" s="1365"/>
      <c r="N109" s="1365"/>
      <c r="O109" s="1365"/>
      <c r="P109" s="1366"/>
      <c r="Q109" s="58"/>
      <c r="R109" s="1140" t="s">
        <v>469</v>
      </c>
      <c r="S109" s="1140"/>
      <c r="T109" s="1140"/>
      <c r="U109" s="1140"/>
      <c r="V109" s="1140"/>
      <c r="W109" s="1140"/>
      <c r="X109" s="1141"/>
      <c r="AA109" s="78">
        <f>AA106+AA108</f>
        <v>1467829571.4285717</v>
      </c>
    </row>
    <row r="110" spans="1:28">
      <c r="A110" s="299">
        <v>1</v>
      </c>
      <c r="B110" s="195" t="s">
        <v>510</v>
      </c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 t="s">
        <v>507</v>
      </c>
      <c r="N110" s="195"/>
      <c r="O110" s="195"/>
      <c r="P110" s="195"/>
      <c r="Q110" s="35"/>
      <c r="R110" s="1146" t="s">
        <v>155</v>
      </c>
      <c r="S110" s="1146"/>
      <c r="T110" s="1146"/>
      <c r="U110" s="1146"/>
      <c r="V110" s="1146"/>
      <c r="W110" s="1146"/>
      <c r="X110" s="1149"/>
    </row>
    <row r="111" spans="1:28">
      <c r="A111" s="5"/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35"/>
      <c r="R111" s="1146" t="s">
        <v>114</v>
      </c>
      <c r="S111" s="1146"/>
      <c r="T111" s="1146"/>
      <c r="U111" s="1146"/>
      <c r="V111" s="1146"/>
      <c r="W111" s="1146"/>
      <c r="X111" s="1149"/>
    </row>
    <row r="112" spans="1:28">
      <c r="A112" s="5"/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35"/>
      <c r="R112" s="195"/>
      <c r="S112" s="195"/>
      <c r="T112" s="195"/>
      <c r="U112" s="195"/>
      <c r="V112" s="195"/>
      <c r="W112" s="195"/>
      <c r="X112" s="2"/>
    </row>
    <row r="113" spans="1:24">
      <c r="A113" s="5"/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35"/>
      <c r="R113" s="195"/>
      <c r="S113" s="195"/>
      <c r="T113" s="195"/>
      <c r="U113" s="195"/>
      <c r="V113" s="195"/>
      <c r="W113" s="195"/>
      <c r="X113" s="2"/>
    </row>
    <row r="114" spans="1:24">
      <c r="A114" s="299">
        <v>2</v>
      </c>
      <c r="B114" s="195" t="s">
        <v>512</v>
      </c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 t="s">
        <v>511</v>
      </c>
      <c r="N114" s="195"/>
      <c r="O114" s="195"/>
      <c r="P114" s="195"/>
      <c r="Q114" s="35"/>
      <c r="R114" s="195"/>
      <c r="S114" s="195"/>
      <c r="T114" s="195"/>
      <c r="U114" s="195"/>
      <c r="V114" s="195"/>
      <c r="W114" s="195"/>
      <c r="X114" s="2"/>
    </row>
    <row r="115" spans="1:24">
      <c r="A115" s="5"/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35"/>
      <c r="R115" s="1357" t="s">
        <v>442</v>
      </c>
      <c r="S115" s="1357"/>
      <c r="T115" s="1357"/>
      <c r="U115" s="1357"/>
      <c r="V115" s="1357"/>
      <c r="W115" s="1357"/>
      <c r="X115" s="1358"/>
    </row>
    <row r="116" spans="1:24">
      <c r="A116" s="5"/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35"/>
      <c r="R116" s="1359" t="s">
        <v>443</v>
      </c>
      <c r="S116" s="1359"/>
      <c r="T116" s="1359"/>
      <c r="U116" s="1359"/>
      <c r="V116" s="1359"/>
      <c r="W116" s="1359"/>
      <c r="X116" s="1360"/>
    </row>
    <row r="117" spans="1:24" ht="15.75" thickBot="1">
      <c r="A117" s="48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50"/>
      <c r="R117" s="1361"/>
      <c r="S117" s="1361"/>
      <c r="T117" s="1361"/>
      <c r="U117" s="1361"/>
      <c r="V117" s="1361"/>
      <c r="W117" s="1361"/>
      <c r="X117" s="1362"/>
    </row>
  </sheetData>
  <mergeCells count="154">
    <mergeCell ref="V42:X42"/>
    <mergeCell ref="R42:S42"/>
    <mergeCell ref="R41:S41"/>
    <mergeCell ref="T41:U41"/>
    <mergeCell ref="V41:X41"/>
    <mergeCell ref="R40:S40"/>
    <mergeCell ref="T40:U40"/>
    <mergeCell ref="V40:X40"/>
    <mergeCell ref="R110:X110"/>
    <mergeCell ref="V99:X99"/>
    <mergeCell ref="R101:X101"/>
    <mergeCell ref="V81:X81"/>
    <mergeCell ref="V82:X82"/>
    <mergeCell ref="R54:S54"/>
    <mergeCell ref="T54:U54"/>
    <mergeCell ref="V54:X54"/>
    <mergeCell ref="R55:S55"/>
    <mergeCell ref="T55:U55"/>
    <mergeCell ref="V55:X55"/>
    <mergeCell ref="V50:X50"/>
    <mergeCell ref="V51:X51"/>
    <mergeCell ref="V52:X52"/>
    <mergeCell ref="R43:S43"/>
    <mergeCell ref="T43:U43"/>
    <mergeCell ref="R111:X111"/>
    <mergeCell ref="R115:X115"/>
    <mergeCell ref="R116:X116"/>
    <mergeCell ref="R117:X117"/>
    <mergeCell ref="H105:M105"/>
    <mergeCell ref="H106:M106"/>
    <mergeCell ref="R106:X106"/>
    <mergeCell ref="R107:X107"/>
    <mergeCell ref="R108:X108"/>
    <mergeCell ref="A109:P109"/>
    <mergeCell ref="R109:X109"/>
    <mergeCell ref="H102:M102"/>
    <mergeCell ref="R102:X102"/>
    <mergeCell ref="H103:M103"/>
    <mergeCell ref="H104:M104"/>
    <mergeCell ref="A87:L87"/>
    <mergeCell ref="V87:X87"/>
    <mergeCell ref="A88:L88"/>
    <mergeCell ref="V88:X88"/>
    <mergeCell ref="V89:X89"/>
    <mergeCell ref="T92:U92"/>
    <mergeCell ref="V92:X92"/>
    <mergeCell ref="V93:X93"/>
    <mergeCell ref="A84:L84"/>
    <mergeCell ref="V84:X84"/>
    <mergeCell ref="A85:L85"/>
    <mergeCell ref="V85:X85"/>
    <mergeCell ref="T90:U90"/>
    <mergeCell ref="V90:X90"/>
    <mergeCell ref="T91:U91"/>
    <mergeCell ref="V91:X91"/>
    <mergeCell ref="R79:S79"/>
    <mergeCell ref="T79:U79"/>
    <mergeCell ref="V79:X79"/>
    <mergeCell ref="R80:S80"/>
    <mergeCell ref="T80:U80"/>
    <mergeCell ref="V80:X80"/>
    <mergeCell ref="A76:L76"/>
    <mergeCell ref="V76:X76"/>
    <mergeCell ref="R77:S77"/>
    <mergeCell ref="T77:U77"/>
    <mergeCell ref="V77:X77"/>
    <mergeCell ref="R78:S78"/>
    <mergeCell ref="T78:U78"/>
    <mergeCell ref="V78:X78"/>
    <mergeCell ref="R56:S56"/>
    <mergeCell ref="T56:U56"/>
    <mergeCell ref="V56:X56"/>
    <mergeCell ref="V57:X57"/>
    <mergeCell ref="V58:X58"/>
    <mergeCell ref="A53:L53"/>
    <mergeCell ref="V53:X53"/>
    <mergeCell ref="R49:S49"/>
    <mergeCell ref="T49:U49"/>
    <mergeCell ref="V49:X49"/>
    <mergeCell ref="R48:S48"/>
    <mergeCell ref="T48:U48"/>
    <mergeCell ref="V48:X48"/>
    <mergeCell ref="A47:L47"/>
    <mergeCell ref="V47:X47"/>
    <mergeCell ref="A30:L30"/>
    <mergeCell ref="V30:X30"/>
    <mergeCell ref="R32:S32"/>
    <mergeCell ref="T32:U32"/>
    <mergeCell ref="V32:X32"/>
    <mergeCell ref="R33:S33"/>
    <mergeCell ref="R34:S34"/>
    <mergeCell ref="R35:S35"/>
    <mergeCell ref="T33:U33"/>
    <mergeCell ref="T34:U34"/>
    <mergeCell ref="V33:X33"/>
    <mergeCell ref="V34:X34"/>
    <mergeCell ref="V35:X35"/>
    <mergeCell ref="T35:U35"/>
    <mergeCell ref="V44:X44"/>
    <mergeCell ref="V45:X45"/>
    <mergeCell ref="V39:X39"/>
    <mergeCell ref="V31:X31"/>
    <mergeCell ref="V43:X43"/>
    <mergeCell ref="T42:U42"/>
    <mergeCell ref="A17:L17"/>
    <mergeCell ref="V17:X17"/>
    <mergeCell ref="A18:L18"/>
    <mergeCell ref="V18:X18"/>
    <mergeCell ref="V25:X25"/>
    <mergeCell ref="T25:U25"/>
    <mergeCell ref="R25:S25"/>
    <mergeCell ref="V27:X27"/>
    <mergeCell ref="V28:X28"/>
    <mergeCell ref="V36:X36"/>
    <mergeCell ref="V37:X37"/>
    <mergeCell ref="A29:L29"/>
    <mergeCell ref="R19:S19"/>
    <mergeCell ref="T19:U19"/>
    <mergeCell ref="R21:S21"/>
    <mergeCell ref="T21:U21"/>
    <mergeCell ref="R23:S23"/>
    <mergeCell ref="T23:U23"/>
    <mergeCell ref="A1:O2"/>
    <mergeCell ref="P1:V2"/>
    <mergeCell ref="A3:O4"/>
    <mergeCell ref="W3:X3"/>
    <mergeCell ref="W4:X4"/>
    <mergeCell ref="A5:X5"/>
    <mergeCell ref="A14:L14"/>
    <mergeCell ref="V14:X14"/>
    <mergeCell ref="A15:L15"/>
    <mergeCell ref="V15:X15"/>
    <mergeCell ref="A12:L12"/>
    <mergeCell ref="R12:S12"/>
    <mergeCell ref="T12:U12"/>
    <mergeCell ref="V12:X12"/>
    <mergeCell ref="A13:L13"/>
    <mergeCell ref="M13:P13"/>
    <mergeCell ref="R13:S13"/>
    <mergeCell ref="T13:U13"/>
    <mergeCell ref="V13:X13"/>
    <mergeCell ref="V19:X19"/>
    <mergeCell ref="V21:X21"/>
    <mergeCell ref="V23:X23"/>
    <mergeCell ref="N19:O19"/>
    <mergeCell ref="A6:X6"/>
    <mergeCell ref="A9:X9"/>
    <mergeCell ref="A10:X10"/>
    <mergeCell ref="A11:L11"/>
    <mergeCell ref="M11:P11"/>
    <mergeCell ref="Q11:U11"/>
    <mergeCell ref="V11:X11"/>
    <mergeCell ref="A16:L16"/>
    <mergeCell ref="V16:X16"/>
  </mergeCells>
  <pageMargins left="0.51181102362204722" right="0.51181102362204722" top="0.51181102362204722" bottom="0.51181102362204722" header="0.31496062992125984" footer="0.31496062992125984"/>
  <pageSetup paperSize="5" scale="90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65"/>
  <sheetViews>
    <sheetView workbookViewId="0">
      <selection activeCell="A3" sqref="A3:O4"/>
    </sheetView>
  </sheetViews>
  <sheetFormatPr defaultRowHeight="15"/>
  <cols>
    <col min="1" max="1" width="2.7109375" customWidth="1"/>
    <col min="2" max="2" width="2.85546875" customWidth="1"/>
    <col min="3" max="3" width="3.140625" customWidth="1"/>
    <col min="4" max="4" width="3.42578125" customWidth="1"/>
    <col min="5" max="6" width="1.85546875" customWidth="1"/>
    <col min="7" max="7" width="2.7109375" customWidth="1"/>
    <col min="8" max="8" width="3.140625" customWidth="1"/>
    <col min="9" max="10" width="2.7109375" customWidth="1"/>
    <col min="11" max="11" width="2.140625" customWidth="1"/>
    <col min="12" max="12" width="2.42578125" customWidth="1"/>
    <col min="14" max="14" width="7.5703125" customWidth="1"/>
    <col min="15" max="15" width="6.140625" customWidth="1"/>
    <col min="16" max="16" width="4.85546875" customWidth="1"/>
    <col min="17" max="17" width="6.28515625" customWidth="1"/>
    <col min="18" max="18" width="4.5703125" customWidth="1"/>
    <col min="19" max="19" width="5" customWidth="1"/>
    <col min="20" max="20" width="4.7109375" customWidth="1"/>
    <col min="21" max="21" width="6.28515625" customWidth="1"/>
    <col min="22" max="22" width="3.7109375" customWidth="1"/>
    <col min="23" max="23" width="2.28515625" customWidth="1"/>
    <col min="24" max="24" width="11.85546875" customWidth="1"/>
    <col min="26" max="26" width="11.5703125" bestFit="1" customWidth="1"/>
    <col min="28" max="28" width="11.5703125" bestFit="1" customWidth="1"/>
  </cols>
  <sheetData>
    <row r="1" spans="1:24" ht="15" customHeight="1">
      <c r="A1" s="1386" t="s">
        <v>0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8"/>
      <c r="P1" s="1333" t="s">
        <v>528</v>
      </c>
      <c r="Q1" s="1334" t="s">
        <v>528</v>
      </c>
      <c r="R1" s="1385" t="s">
        <v>157</v>
      </c>
      <c r="S1" s="1385" t="s">
        <v>157</v>
      </c>
      <c r="T1" s="1385" t="s">
        <v>157</v>
      </c>
      <c r="U1" s="1334" t="s">
        <v>158</v>
      </c>
      <c r="V1" s="1371" t="s">
        <v>159</v>
      </c>
      <c r="W1" s="1370"/>
      <c r="X1" s="1371"/>
    </row>
    <row r="2" spans="1:24" ht="15" customHeight="1">
      <c r="A2" s="1389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1"/>
      <c r="P2" s="1375"/>
      <c r="Q2" s="1376"/>
      <c r="R2" s="1376"/>
      <c r="S2" s="1377"/>
      <c r="T2" s="1377"/>
      <c r="U2" s="1376"/>
      <c r="V2" s="1374"/>
      <c r="W2" s="1373" t="s">
        <v>1</v>
      </c>
      <c r="X2" s="1374"/>
    </row>
    <row r="3" spans="1:24" ht="15" customHeight="1">
      <c r="A3" s="1379" t="s">
        <v>2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1"/>
      <c r="P3" s="1375"/>
      <c r="Q3" s="1376"/>
      <c r="R3" s="1377"/>
      <c r="S3" s="1377"/>
      <c r="T3" s="1377"/>
      <c r="U3" s="1376"/>
      <c r="V3" s="1374"/>
      <c r="W3" s="1373"/>
      <c r="X3" s="1374"/>
    </row>
    <row r="4" spans="1:24" ht="15" customHeight="1">
      <c r="A4" s="1382"/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4"/>
      <c r="P4" s="1284"/>
      <c r="Q4" s="1285"/>
      <c r="R4" s="1285"/>
      <c r="S4" s="1378"/>
      <c r="T4" s="1378"/>
      <c r="U4" s="1285"/>
      <c r="V4" s="1414"/>
      <c r="W4" s="1373" t="s">
        <v>1040</v>
      </c>
      <c r="X4" s="1374"/>
    </row>
    <row r="5" spans="1:24">
      <c r="A5" s="1321" t="s">
        <v>717</v>
      </c>
      <c r="B5" s="1322"/>
      <c r="C5" s="1322"/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3"/>
      <c r="W5" s="852"/>
      <c r="X5" s="853"/>
    </row>
    <row r="6" spans="1:24" ht="20.25" customHeight="1">
      <c r="A6" s="1172" t="s">
        <v>922</v>
      </c>
      <c r="B6" s="1173"/>
      <c r="C6" s="1173"/>
      <c r="D6" s="1173"/>
      <c r="E6" s="1173"/>
      <c r="F6" s="1173"/>
      <c r="G6" s="1173"/>
      <c r="H6" s="1173"/>
      <c r="I6" s="1173"/>
      <c r="J6" s="1173"/>
      <c r="K6" s="1173"/>
      <c r="L6" s="1173"/>
      <c r="M6" s="1173"/>
      <c r="N6" s="1173"/>
      <c r="O6" s="1173"/>
      <c r="P6" s="1173"/>
      <c r="Q6" s="1173"/>
      <c r="R6" s="1173"/>
      <c r="S6" s="1173"/>
      <c r="T6" s="1173"/>
      <c r="U6" s="1173"/>
      <c r="V6" s="1372"/>
      <c r="W6" s="850"/>
      <c r="X6" s="851"/>
    </row>
    <row r="7" spans="1:24">
      <c r="A7" s="235" t="s">
        <v>5</v>
      </c>
      <c r="B7" s="202"/>
      <c r="C7" s="202"/>
      <c r="D7" s="202"/>
      <c r="E7" s="202"/>
      <c r="F7" s="202"/>
      <c r="G7" s="202"/>
      <c r="H7" s="202"/>
      <c r="I7" s="202"/>
      <c r="J7" s="202"/>
      <c r="K7" s="197"/>
      <c r="L7" s="53" t="s">
        <v>6</v>
      </c>
      <c r="M7" s="53" t="s">
        <v>528</v>
      </c>
      <c r="N7" s="53"/>
      <c r="O7" s="53"/>
      <c r="P7" s="53"/>
      <c r="Q7" s="53" t="s">
        <v>8</v>
      </c>
      <c r="R7" s="53"/>
      <c r="S7" s="53"/>
      <c r="T7" s="53"/>
      <c r="U7" s="53"/>
      <c r="V7" s="53"/>
      <c r="W7" s="53"/>
      <c r="X7" s="70"/>
    </row>
    <row r="8" spans="1:24">
      <c r="A8" s="233" t="s">
        <v>9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" t="s">
        <v>6</v>
      </c>
      <c r="M8" s="6" t="s">
        <v>529</v>
      </c>
      <c r="N8" s="6"/>
      <c r="O8" s="1"/>
      <c r="P8" s="1"/>
      <c r="Q8" s="195" t="s">
        <v>531</v>
      </c>
      <c r="R8" s="1"/>
      <c r="S8" s="1"/>
      <c r="T8" s="1"/>
      <c r="U8" s="1"/>
      <c r="V8" s="1"/>
      <c r="W8" s="1"/>
      <c r="X8" s="2"/>
    </row>
    <row r="9" spans="1:24">
      <c r="A9" s="233" t="s">
        <v>162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" t="s">
        <v>6</v>
      </c>
      <c r="M9" s="195" t="s">
        <v>530</v>
      </c>
      <c r="N9" s="1"/>
      <c r="O9" s="1"/>
      <c r="P9" s="1"/>
      <c r="Q9" s="1" t="s">
        <v>163</v>
      </c>
      <c r="R9" s="1"/>
      <c r="S9" s="1"/>
      <c r="T9" s="1"/>
      <c r="U9" s="1"/>
      <c r="V9" s="1"/>
      <c r="W9" s="1"/>
      <c r="X9" s="2"/>
    </row>
    <row r="10" spans="1:24">
      <c r="A10" s="5" t="s">
        <v>58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 t="s">
        <v>6</v>
      </c>
      <c r="M10" s="195" t="s">
        <v>530</v>
      </c>
      <c r="N10" s="1"/>
      <c r="O10" s="1"/>
      <c r="P10" s="1"/>
      <c r="Q10" s="1" t="s">
        <v>66</v>
      </c>
      <c r="R10" s="1"/>
      <c r="S10" s="1"/>
      <c r="T10" s="1"/>
      <c r="U10" s="1"/>
      <c r="V10" s="1"/>
      <c r="W10" s="1"/>
      <c r="X10" s="2"/>
    </row>
    <row r="11" spans="1:24">
      <c r="A11" s="5" t="s">
        <v>165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 t="s">
        <v>6</v>
      </c>
      <c r="M11" s="195" t="s">
        <v>920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2"/>
    </row>
    <row r="12" spans="1:24">
      <c r="A12" s="5" t="s">
        <v>1021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 t="s">
        <v>6</v>
      </c>
      <c r="M12" s="66" t="s">
        <v>919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</row>
    <row r="13" spans="1:24">
      <c r="A13" s="68" t="s">
        <v>167</v>
      </c>
      <c r="B13" s="3"/>
      <c r="C13" s="3"/>
      <c r="D13" s="3"/>
      <c r="E13" s="3"/>
      <c r="F13" s="3"/>
      <c r="G13" s="3"/>
      <c r="H13" s="3"/>
      <c r="I13" s="3"/>
      <c r="J13" s="3"/>
      <c r="K13" s="1"/>
      <c r="L13" s="3" t="s">
        <v>6</v>
      </c>
      <c r="M13" s="3" t="s">
        <v>68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</row>
    <row r="14" spans="1:24" ht="17.25" customHeight="1">
      <c r="A14" s="1415" t="s">
        <v>168</v>
      </c>
      <c r="B14" s="1416"/>
      <c r="C14" s="1416"/>
      <c r="D14" s="1416"/>
      <c r="E14" s="1416"/>
      <c r="F14" s="1416"/>
      <c r="G14" s="1416"/>
      <c r="H14" s="1416"/>
      <c r="I14" s="1416"/>
      <c r="J14" s="1416"/>
      <c r="K14" s="1416"/>
      <c r="L14" s="1416"/>
      <c r="M14" s="1416"/>
      <c r="N14" s="1416"/>
      <c r="O14" s="1416"/>
      <c r="P14" s="1416"/>
      <c r="Q14" s="1416"/>
      <c r="R14" s="1416"/>
      <c r="S14" s="1416"/>
      <c r="T14" s="1416"/>
      <c r="U14" s="1416"/>
      <c r="V14" s="1416"/>
      <c r="W14" s="1416"/>
      <c r="X14" s="1417"/>
    </row>
    <row r="15" spans="1:24">
      <c r="A15" s="1418" t="s">
        <v>169</v>
      </c>
      <c r="B15" s="1400"/>
      <c r="C15" s="1400"/>
      <c r="D15" s="1400"/>
      <c r="E15" s="1400"/>
      <c r="F15" s="1400"/>
      <c r="G15" s="77"/>
      <c r="H15" s="77"/>
      <c r="I15" s="1399" t="s">
        <v>170</v>
      </c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3"/>
      <c r="U15" s="1399" t="s">
        <v>171</v>
      </c>
      <c r="V15" s="1400"/>
      <c r="W15" s="1400"/>
      <c r="X15" s="1405"/>
    </row>
    <row r="16" spans="1:24">
      <c r="A16" s="5" t="s">
        <v>172</v>
      </c>
      <c r="B16" s="1"/>
      <c r="C16" s="1"/>
      <c r="D16" s="1"/>
      <c r="E16" s="1"/>
      <c r="F16" s="1"/>
      <c r="G16" s="1"/>
      <c r="H16" s="1"/>
      <c r="I16" s="35" t="s">
        <v>173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36"/>
      <c r="U16" s="1406">
        <v>1</v>
      </c>
      <c r="V16" s="1407"/>
      <c r="W16" s="1407"/>
      <c r="X16" s="1408"/>
    </row>
    <row r="17" spans="1:24">
      <c r="A17" s="5" t="s">
        <v>174</v>
      </c>
      <c r="B17" s="1"/>
      <c r="C17" s="1"/>
      <c r="D17" s="1"/>
      <c r="E17" s="1"/>
      <c r="F17" s="1"/>
      <c r="G17" s="1"/>
      <c r="H17" s="1"/>
      <c r="I17" s="35" t="s">
        <v>175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36"/>
      <c r="U17" s="81" t="s">
        <v>154</v>
      </c>
      <c r="V17" s="1409">
        <f>V30</f>
        <v>1416000</v>
      </c>
      <c r="W17" s="1409"/>
      <c r="X17" s="1410"/>
    </row>
    <row r="18" spans="1:24">
      <c r="A18" s="5" t="s">
        <v>176</v>
      </c>
      <c r="B18" s="1"/>
      <c r="C18" s="1"/>
      <c r="D18" s="1"/>
      <c r="E18" s="1"/>
      <c r="F18" s="1"/>
      <c r="G18" s="1"/>
      <c r="H18" s="1"/>
      <c r="I18" s="35" t="s">
        <v>177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36"/>
      <c r="U18" s="1147" t="s">
        <v>178</v>
      </c>
      <c r="V18" s="1146"/>
      <c r="W18" s="1146"/>
      <c r="X18" s="1149"/>
    </row>
    <row r="19" spans="1:24">
      <c r="A19" s="68" t="s">
        <v>179</v>
      </c>
      <c r="B19" s="3"/>
      <c r="C19" s="3"/>
      <c r="D19" s="3"/>
      <c r="E19" s="3"/>
      <c r="F19" s="3"/>
      <c r="G19" s="3"/>
      <c r="H19" s="3"/>
      <c r="I19" s="33" t="s">
        <v>180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4"/>
      <c r="U19" s="1336" t="s">
        <v>181</v>
      </c>
      <c r="V19" s="1143"/>
      <c r="W19" s="1143"/>
      <c r="X19" s="1144"/>
    </row>
    <row r="20" spans="1:24">
      <c r="A20" s="5" t="s">
        <v>182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 t="s">
        <v>6</v>
      </c>
      <c r="M20" s="195" t="s">
        <v>920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</row>
    <row r="21" spans="1:24">
      <c r="A21" s="1321" t="s">
        <v>718</v>
      </c>
      <c r="B21" s="1322"/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3"/>
    </row>
    <row r="22" spans="1:24">
      <c r="A22" s="1164" t="s">
        <v>719</v>
      </c>
      <c r="B22" s="1165"/>
      <c r="C22" s="1165"/>
      <c r="D22" s="1165"/>
      <c r="E22" s="1165"/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  <c r="R22" s="1165"/>
      <c r="S22" s="1165"/>
      <c r="T22" s="1165"/>
      <c r="U22" s="1165"/>
      <c r="V22" s="1165"/>
      <c r="W22" s="1165"/>
      <c r="X22" s="1393"/>
    </row>
    <row r="23" spans="1:24">
      <c r="A23" s="1321" t="s">
        <v>185</v>
      </c>
      <c r="B23" s="1322"/>
      <c r="C23" s="1322"/>
      <c r="D23" s="1322"/>
      <c r="E23" s="1322"/>
      <c r="F23" s="1322"/>
      <c r="G23" s="1322"/>
      <c r="H23" s="1322"/>
      <c r="I23" s="1322"/>
      <c r="J23" s="1322"/>
      <c r="K23" s="1322"/>
      <c r="L23" s="1394"/>
      <c r="M23" s="1395" t="s">
        <v>14</v>
      </c>
      <c r="N23" s="1396"/>
      <c r="O23" s="1396"/>
      <c r="P23" s="1397"/>
      <c r="Q23" s="1399" t="s">
        <v>121</v>
      </c>
      <c r="R23" s="1400"/>
      <c r="S23" s="1400"/>
      <c r="T23" s="1400"/>
      <c r="U23" s="1400"/>
      <c r="V23" s="1401" t="s">
        <v>15</v>
      </c>
      <c r="W23" s="1322"/>
      <c r="X23" s="1323"/>
    </row>
    <row r="24" spans="1:24">
      <c r="A24" s="1324" t="s">
        <v>16</v>
      </c>
      <c r="B24" s="1325"/>
      <c r="C24" s="1325"/>
      <c r="D24" s="1325"/>
      <c r="E24" s="1325"/>
      <c r="F24" s="1325"/>
      <c r="G24" s="1325"/>
      <c r="H24" s="1325"/>
      <c r="I24" s="1325"/>
      <c r="J24" s="1325"/>
      <c r="K24" s="1325"/>
      <c r="L24" s="1402"/>
      <c r="M24" s="1398"/>
      <c r="N24" s="1173"/>
      <c r="O24" s="1173"/>
      <c r="P24" s="1174"/>
      <c r="Q24" s="82" t="s">
        <v>122</v>
      </c>
      <c r="R24" s="1399" t="s">
        <v>123</v>
      </c>
      <c r="S24" s="1403"/>
      <c r="T24" s="1399" t="s">
        <v>124</v>
      </c>
      <c r="U24" s="1403"/>
      <c r="V24" s="1404" t="s">
        <v>17</v>
      </c>
      <c r="W24" s="1325"/>
      <c r="X24" s="1326"/>
    </row>
    <row r="25" spans="1:24">
      <c r="A25" s="1150">
        <v>1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3">
        <v>2</v>
      </c>
      <c r="N25" s="1151"/>
      <c r="O25" s="1151"/>
      <c r="P25" s="1152"/>
      <c r="Q25" s="76">
        <v>3</v>
      </c>
      <c r="R25" s="1336">
        <v>4</v>
      </c>
      <c r="S25" s="1392"/>
      <c r="T25" s="1153">
        <v>5</v>
      </c>
      <c r="U25" s="1152"/>
      <c r="V25" s="1153" t="s">
        <v>1041</v>
      </c>
      <c r="W25" s="1151"/>
      <c r="X25" s="1154"/>
    </row>
    <row r="26" spans="1:24">
      <c r="A26" s="1354" t="s">
        <v>720</v>
      </c>
      <c r="B26" s="1355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419" t="s">
        <v>551</v>
      </c>
      <c r="N26" s="1420"/>
      <c r="O26" s="1420"/>
      <c r="P26" s="1421"/>
      <c r="Q26" s="347"/>
      <c r="R26" s="346"/>
      <c r="S26" s="348"/>
      <c r="T26" s="346"/>
      <c r="U26" s="348"/>
      <c r="V26" s="1411">
        <f>V27</f>
        <v>1416000</v>
      </c>
      <c r="W26" s="1412"/>
      <c r="X26" s="1413"/>
    </row>
    <row r="27" spans="1:24">
      <c r="A27" s="1354" t="s">
        <v>533</v>
      </c>
      <c r="B27" s="1355"/>
      <c r="C27" s="1355"/>
      <c r="D27" s="1355"/>
      <c r="E27" s="1355"/>
      <c r="F27" s="1355"/>
      <c r="G27" s="1355"/>
      <c r="H27" s="1355"/>
      <c r="I27" s="1355"/>
      <c r="J27" s="1355"/>
      <c r="K27" s="1355"/>
      <c r="L27" s="1355"/>
      <c r="M27" s="83" t="s">
        <v>23</v>
      </c>
      <c r="N27" s="84"/>
      <c r="O27" s="84"/>
      <c r="P27" s="85"/>
      <c r="Q27" s="1"/>
      <c r="R27" s="35"/>
      <c r="S27" s="36"/>
      <c r="T27" s="35"/>
      <c r="U27" s="36"/>
      <c r="V27" s="1424">
        <f>V28</f>
        <v>1416000</v>
      </c>
      <c r="W27" s="1424"/>
      <c r="X27" s="1425"/>
    </row>
    <row r="28" spans="1:24">
      <c r="A28" s="1354" t="s">
        <v>534</v>
      </c>
      <c r="B28" s="1355"/>
      <c r="C28" s="1355"/>
      <c r="D28" s="1355"/>
      <c r="E28" s="1355"/>
      <c r="F28" s="1355"/>
      <c r="G28" s="1355"/>
      <c r="H28" s="1355"/>
      <c r="I28" s="1355"/>
      <c r="J28" s="1355"/>
      <c r="K28" s="1355"/>
      <c r="L28" s="1355"/>
      <c r="M28" s="83" t="s">
        <v>24</v>
      </c>
      <c r="N28" s="84"/>
      <c r="O28" s="84"/>
      <c r="P28" s="85"/>
      <c r="Q28" s="1"/>
      <c r="R28" s="35"/>
      <c r="S28" s="36"/>
      <c r="T28" s="35"/>
      <c r="U28" s="36"/>
      <c r="V28" s="1424">
        <f>V29</f>
        <v>1416000</v>
      </c>
      <c r="W28" s="1424"/>
      <c r="X28" s="1425"/>
    </row>
    <row r="29" spans="1:24">
      <c r="A29" s="1354" t="s">
        <v>535</v>
      </c>
      <c r="B29" s="1355"/>
      <c r="C29" s="1355"/>
      <c r="D29" s="1355"/>
      <c r="E29" s="1355"/>
      <c r="F29" s="1355"/>
      <c r="G29" s="1355"/>
      <c r="H29" s="1355"/>
      <c r="I29" s="1355"/>
      <c r="J29" s="1355"/>
      <c r="K29" s="1355"/>
      <c r="L29" s="1355"/>
      <c r="M29" s="83" t="s">
        <v>186</v>
      </c>
      <c r="N29" s="84"/>
      <c r="O29" s="84"/>
      <c r="P29" s="85"/>
      <c r="Q29" s="1"/>
      <c r="R29" s="35"/>
      <c r="S29" s="36"/>
      <c r="T29" s="35"/>
      <c r="U29" s="36"/>
      <c r="V29" s="1424">
        <f>V30</f>
        <v>1416000</v>
      </c>
      <c r="W29" s="1424"/>
      <c r="X29" s="1425"/>
    </row>
    <row r="30" spans="1:24">
      <c r="A30" s="1354" t="s">
        <v>536</v>
      </c>
      <c r="B30" s="1355"/>
      <c r="C30" s="1355"/>
      <c r="D30" s="1355"/>
      <c r="E30" s="1355"/>
      <c r="F30" s="1355"/>
      <c r="G30" s="1355"/>
      <c r="H30" s="1355"/>
      <c r="I30" s="1355"/>
      <c r="J30" s="1355"/>
      <c r="K30" s="1355"/>
      <c r="L30" s="1355"/>
      <c r="M30" s="35" t="s">
        <v>187</v>
      </c>
      <c r="N30" s="1"/>
      <c r="O30" s="1"/>
      <c r="P30" s="36"/>
      <c r="Q30" s="1"/>
      <c r="R30" s="35"/>
      <c r="S30" s="36"/>
      <c r="T30" s="35"/>
      <c r="U30" s="36"/>
      <c r="V30" s="1422">
        <f>V32+V33</f>
        <v>1416000</v>
      </c>
      <c r="W30" s="1422"/>
      <c r="X30" s="1423"/>
    </row>
    <row r="31" spans="1:24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5" t="s">
        <v>188</v>
      </c>
      <c r="N31" s="1"/>
      <c r="O31" s="1"/>
      <c r="P31" s="36"/>
      <c r="Q31" s="1"/>
      <c r="R31" s="35"/>
      <c r="S31" s="36"/>
      <c r="T31" s="35"/>
      <c r="U31" s="36"/>
      <c r="V31" s="1147"/>
      <c r="W31" s="1146"/>
      <c r="X31" s="1149"/>
    </row>
    <row r="32" spans="1:24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63" t="s">
        <v>189</v>
      </c>
      <c r="N32" s="1"/>
      <c r="O32" s="1"/>
      <c r="P32" s="36"/>
      <c r="Q32" s="10">
        <v>110</v>
      </c>
      <c r="R32" s="1147" t="s">
        <v>190</v>
      </c>
      <c r="S32" s="1148"/>
      <c r="T32" s="1349">
        <v>6000</v>
      </c>
      <c r="U32" s="1350"/>
      <c r="V32" s="1422">
        <f>Q32*T32</f>
        <v>660000</v>
      </c>
      <c r="W32" s="1422"/>
      <c r="X32" s="1423"/>
    </row>
    <row r="33" spans="1:28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63" t="s">
        <v>191</v>
      </c>
      <c r="N33" s="1"/>
      <c r="O33" s="1"/>
      <c r="P33" s="36"/>
      <c r="Q33" s="10">
        <v>252</v>
      </c>
      <c r="R33" s="1147" t="s">
        <v>190</v>
      </c>
      <c r="S33" s="1148"/>
      <c r="T33" s="1349">
        <v>3000</v>
      </c>
      <c r="U33" s="1350"/>
      <c r="V33" s="1422">
        <f>Q33*T33</f>
        <v>756000</v>
      </c>
      <c r="W33" s="1422"/>
      <c r="X33" s="1423"/>
    </row>
    <row r="34" spans="1:28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5"/>
      <c r="N34" s="1"/>
      <c r="O34" s="1"/>
      <c r="P34" s="36"/>
      <c r="Q34" s="1"/>
      <c r="R34" s="35"/>
      <c r="S34" s="36"/>
      <c r="T34" s="35"/>
      <c r="U34" s="36"/>
      <c r="V34" s="1"/>
      <c r="W34" s="1"/>
      <c r="X34" s="2"/>
    </row>
    <row r="35" spans="1:28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5"/>
      <c r="N35" s="1"/>
      <c r="O35" s="1"/>
      <c r="P35" s="36"/>
      <c r="Q35" s="1"/>
      <c r="R35" s="35"/>
      <c r="S35" s="36"/>
      <c r="T35" s="35"/>
      <c r="U35" s="36"/>
      <c r="V35" s="1"/>
      <c r="W35" s="1"/>
      <c r="X35" s="2"/>
    </row>
    <row r="36" spans="1:28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35"/>
      <c r="N36" s="1"/>
      <c r="O36" s="1"/>
      <c r="P36" s="36"/>
      <c r="Q36" s="1"/>
      <c r="R36" s="35"/>
      <c r="S36" s="36"/>
      <c r="T36" s="35"/>
      <c r="U36" s="36"/>
      <c r="V36" s="1"/>
      <c r="W36" s="1"/>
      <c r="X36" s="2"/>
    </row>
    <row r="37" spans="1:28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5"/>
      <c r="N37" s="1"/>
      <c r="O37" s="1"/>
      <c r="P37" s="36"/>
      <c r="Q37" s="1"/>
      <c r="R37" s="35"/>
      <c r="S37" s="36"/>
      <c r="T37" s="35"/>
      <c r="U37" s="36"/>
      <c r="V37" s="1"/>
      <c r="W37" s="1"/>
      <c r="X37" s="2"/>
    </row>
    <row r="38" spans="1:28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5"/>
      <c r="N38" s="1"/>
      <c r="O38" s="1"/>
      <c r="P38" s="36"/>
      <c r="Q38" s="1"/>
      <c r="R38" s="35"/>
      <c r="S38" s="36"/>
      <c r="T38" s="35"/>
      <c r="U38" s="36"/>
      <c r="V38" s="1"/>
      <c r="W38" s="1"/>
      <c r="X38" s="2"/>
    </row>
    <row r="39" spans="1:28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5"/>
      <c r="N39" s="1"/>
      <c r="O39" s="1"/>
      <c r="P39" s="36"/>
      <c r="Q39" s="1"/>
      <c r="R39" s="35"/>
      <c r="S39" s="36"/>
      <c r="T39" s="35"/>
      <c r="U39" s="36"/>
      <c r="V39" s="1"/>
      <c r="W39" s="1"/>
      <c r="X39" s="2"/>
    </row>
    <row r="40" spans="1:28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5"/>
      <c r="N40" s="1"/>
      <c r="O40" s="1"/>
      <c r="P40" s="36"/>
      <c r="Q40" s="1"/>
      <c r="R40" s="35"/>
      <c r="S40" s="36"/>
      <c r="T40" s="35"/>
      <c r="U40" s="36"/>
      <c r="V40" s="1"/>
      <c r="W40" s="1"/>
      <c r="X40" s="2"/>
    </row>
    <row r="41" spans="1:28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5"/>
      <c r="N41" s="1"/>
      <c r="O41" s="1"/>
      <c r="P41" s="36"/>
      <c r="Q41" s="1"/>
      <c r="R41" s="35"/>
      <c r="S41" s="36"/>
      <c r="T41" s="35"/>
      <c r="U41" s="36"/>
      <c r="V41" s="1"/>
      <c r="W41" s="1"/>
      <c r="X41" s="2"/>
    </row>
    <row r="42" spans="1:28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5"/>
      <c r="N42" s="1"/>
      <c r="O42" s="1"/>
      <c r="P42" s="36"/>
      <c r="Q42" s="1"/>
      <c r="R42" s="35"/>
      <c r="S42" s="36"/>
      <c r="T42" s="35"/>
      <c r="U42" s="36"/>
      <c r="V42" s="1"/>
      <c r="W42" s="1"/>
      <c r="X42" s="2"/>
    </row>
    <row r="43" spans="1:28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5"/>
      <c r="N43" s="1"/>
      <c r="O43" s="1"/>
      <c r="P43" s="36"/>
      <c r="Q43" s="1"/>
      <c r="R43" s="35"/>
      <c r="S43" s="36"/>
      <c r="T43" s="35"/>
      <c r="U43" s="36"/>
      <c r="V43" s="1"/>
      <c r="W43" s="1"/>
      <c r="X43" s="2"/>
      <c r="Z43" s="79">
        <f>V47/4</f>
        <v>354000</v>
      </c>
    </row>
    <row r="44" spans="1:28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35"/>
      <c r="N44" s="1"/>
      <c r="O44" s="1"/>
      <c r="P44" s="36"/>
      <c r="Q44" s="1"/>
      <c r="R44" s="35"/>
      <c r="S44" s="36"/>
      <c r="T44" s="35"/>
      <c r="U44" s="36"/>
      <c r="V44" s="1"/>
      <c r="W44" s="1"/>
      <c r="X44" s="2"/>
    </row>
    <row r="45" spans="1:28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35"/>
      <c r="N45" s="1"/>
      <c r="O45" s="1"/>
      <c r="P45" s="36"/>
      <c r="Q45" s="1"/>
      <c r="R45" s="35"/>
      <c r="S45" s="36"/>
      <c r="T45" s="35"/>
      <c r="U45" s="36"/>
      <c r="V45" s="1"/>
      <c r="W45" s="1"/>
      <c r="X45" s="2"/>
    </row>
    <row r="46" spans="1:28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5"/>
      <c r="N46" s="1"/>
      <c r="O46" s="1"/>
      <c r="P46" s="36"/>
      <c r="Q46" s="1"/>
      <c r="R46" s="35"/>
      <c r="S46" s="36"/>
      <c r="T46" s="35"/>
      <c r="U46" s="36"/>
      <c r="V46" s="1"/>
      <c r="W46" s="1"/>
      <c r="X46" s="2"/>
    </row>
    <row r="47" spans="1:28" ht="15.75" thickBot="1">
      <c r="A47" s="1139" t="s">
        <v>110</v>
      </c>
      <c r="B47" s="1140"/>
      <c r="C47" s="1140"/>
      <c r="D47" s="1140"/>
      <c r="E47" s="1140"/>
      <c r="F47" s="1140"/>
      <c r="G47" s="1140"/>
      <c r="H47" s="1140"/>
      <c r="I47" s="1140"/>
      <c r="J47" s="1140"/>
      <c r="K47" s="1140"/>
      <c r="L47" s="1140"/>
      <c r="M47" s="1140"/>
      <c r="N47" s="1140"/>
      <c r="O47" s="1140"/>
      <c r="P47" s="1140"/>
      <c r="Q47" s="1140"/>
      <c r="R47" s="1140"/>
      <c r="S47" s="1140"/>
      <c r="T47" s="1140"/>
      <c r="U47" s="1140"/>
      <c r="V47" s="1429">
        <f>V32+V33</f>
        <v>1416000</v>
      </c>
      <c r="W47" s="1430"/>
      <c r="X47" s="1431"/>
    </row>
    <row r="48" spans="1:28" ht="19.5" customHeight="1" thickBot="1">
      <c r="A48" s="938" t="s">
        <v>1028</v>
      </c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0"/>
      <c r="P48" s="820"/>
      <c r="Q48" s="820"/>
      <c r="R48" s="1432"/>
      <c r="S48" s="1432"/>
      <c r="T48" s="1432"/>
      <c r="U48" s="1432"/>
      <c r="V48" s="1432"/>
      <c r="W48" s="1432"/>
      <c r="X48" s="1433"/>
      <c r="Z48" s="79">
        <f>H49/2</f>
        <v>177000</v>
      </c>
      <c r="AB48" s="580"/>
    </row>
    <row r="49" spans="1:28">
      <c r="A49" s="5" t="s">
        <v>106</v>
      </c>
      <c r="B49" s="1"/>
      <c r="C49" s="1"/>
      <c r="D49" s="1"/>
      <c r="E49" s="1" t="s">
        <v>6</v>
      </c>
      <c r="F49" s="1" t="s">
        <v>154</v>
      </c>
      <c r="G49" s="1"/>
      <c r="H49" s="1128">
        <v>354000</v>
      </c>
      <c r="I49" s="1128"/>
      <c r="J49" s="1128"/>
      <c r="K49" s="1128"/>
      <c r="L49" s="1128"/>
      <c r="M49" s="11"/>
      <c r="N49" s="1"/>
      <c r="O49" s="1"/>
      <c r="P49" s="1"/>
      <c r="Q49" s="1"/>
      <c r="R49" s="1146" t="s">
        <v>584</v>
      </c>
      <c r="S49" s="1146"/>
      <c r="T49" s="1146"/>
      <c r="U49" s="1146"/>
      <c r="V49" s="1146"/>
      <c r="W49" s="1146"/>
      <c r="X49" s="1149"/>
      <c r="Z49" s="79">
        <f>Z48/6000</f>
        <v>29.5</v>
      </c>
      <c r="AB49" s="580">
        <v>50</v>
      </c>
    </row>
    <row r="50" spans="1:28">
      <c r="A50" s="5" t="s">
        <v>107</v>
      </c>
      <c r="B50" s="1"/>
      <c r="C50" s="1"/>
      <c r="D50" s="1"/>
      <c r="E50" s="1" t="s">
        <v>6</v>
      </c>
      <c r="F50" s="1" t="s">
        <v>154</v>
      </c>
      <c r="G50" s="1"/>
      <c r="H50" s="1128">
        <v>354000</v>
      </c>
      <c r="I50" s="1128"/>
      <c r="J50" s="1128"/>
      <c r="K50" s="1128"/>
      <c r="L50" s="1128"/>
      <c r="M50" s="11"/>
      <c r="N50" s="1"/>
      <c r="O50" s="1"/>
      <c r="P50" s="1"/>
      <c r="Q50" s="1"/>
      <c r="R50" s="1146" t="s">
        <v>585</v>
      </c>
      <c r="S50" s="1146"/>
      <c r="T50" s="1146"/>
      <c r="U50" s="1146"/>
      <c r="V50" s="1146"/>
      <c r="W50" s="1146"/>
      <c r="X50" s="1149"/>
      <c r="Z50" s="79">
        <f>Z48/2</f>
        <v>88500</v>
      </c>
      <c r="AB50" s="580">
        <f>AB49*6000</f>
        <v>300000</v>
      </c>
    </row>
    <row r="51" spans="1:28">
      <c r="A51" s="5" t="s">
        <v>108</v>
      </c>
      <c r="B51" s="195"/>
      <c r="C51" s="195"/>
      <c r="D51" s="195"/>
      <c r="E51" s="195" t="s">
        <v>6</v>
      </c>
      <c r="F51" s="195" t="s">
        <v>154</v>
      </c>
      <c r="G51" s="195"/>
      <c r="H51" s="1128">
        <v>354000</v>
      </c>
      <c r="I51" s="1128"/>
      <c r="J51" s="1128"/>
      <c r="K51" s="1128"/>
      <c r="L51" s="1128"/>
      <c r="M51" s="11"/>
      <c r="N51" s="195"/>
      <c r="O51" s="195"/>
      <c r="P51" s="195"/>
      <c r="Q51" s="195"/>
      <c r="R51" s="195"/>
      <c r="S51" s="195"/>
      <c r="T51" s="816"/>
      <c r="U51" s="816"/>
      <c r="V51" s="816"/>
      <c r="W51" s="816"/>
      <c r="X51" s="2"/>
      <c r="Z51" s="79"/>
      <c r="AB51" s="580"/>
    </row>
    <row r="52" spans="1:28" ht="16.5">
      <c r="A52" s="5" t="s">
        <v>109</v>
      </c>
      <c r="B52" s="1"/>
      <c r="C52" s="1"/>
      <c r="D52" s="1"/>
      <c r="E52" s="1" t="s">
        <v>6</v>
      </c>
      <c r="F52" s="1" t="s">
        <v>154</v>
      </c>
      <c r="G52" s="1"/>
      <c r="H52" s="1434">
        <v>354000</v>
      </c>
      <c r="I52" s="1434"/>
      <c r="J52" s="1434"/>
      <c r="K52" s="1434"/>
      <c r="L52" s="1434"/>
      <c r="M52" s="11"/>
      <c r="N52" s="1"/>
      <c r="O52" s="1"/>
      <c r="P52" s="1"/>
      <c r="Q52" s="1"/>
      <c r="R52" s="195"/>
      <c r="S52" s="195"/>
      <c r="T52" s="195"/>
      <c r="U52" s="195"/>
      <c r="V52" s="195"/>
      <c r="W52" s="195"/>
      <c r="X52" s="2"/>
      <c r="Z52" s="79">
        <f>Z50/3000</f>
        <v>29.5</v>
      </c>
      <c r="AB52" s="580">
        <v>65</v>
      </c>
    </row>
    <row r="53" spans="1:28">
      <c r="A53" s="5" t="s">
        <v>15</v>
      </c>
      <c r="B53" s="1"/>
      <c r="C53" s="1"/>
      <c r="D53" s="1"/>
      <c r="E53" s="1" t="s">
        <v>6</v>
      </c>
      <c r="F53" s="45" t="s">
        <v>154</v>
      </c>
      <c r="G53" s="45"/>
      <c r="H53" s="1128">
        <f>SUM(H49:L52)</f>
        <v>1416000</v>
      </c>
      <c r="I53" s="1128"/>
      <c r="J53" s="1128"/>
      <c r="K53" s="1128"/>
      <c r="L53" s="1128"/>
      <c r="M53" s="11"/>
      <c r="N53" s="1"/>
      <c r="O53" s="1"/>
      <c r="P53" s="1"/>
      <c r="Q53" s="1"/>
      <c r="R53" s="1357" t="s">
        <v>849</v>
      </c>
      <c r="S53" s="1357"/>
      <c r="T53" s="1357"/>
      <c r="U53" s="1357"/>
      <c r="V53" s="1357"/>
      <c r="W53" s="1357"/>
      <c r="X53" s="1358"/>
      <c r="Z53" s="79">
        <f>Z52/3</f>
        <v>9.8333333333333339</v>
      </c>
      <c r="AB53" s="580">
        <f>AB52*3000</f>
        <v>195000</v>
      </c>
    </row>
    <row r="54" spans="1:28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359" t="s">
        <v>914</v>
      </c>
      <c r="S54" s="1146"/>
      <c r="T54" s="1146"/>
      <c r="U54" s="1146"/>
      <c r="V54" s="1146"/>
      <c r="W54" s="1146"/>
      <c r="X54" s="1149"/>
      <c r="Z54" s="79"/>
      <c r="AB54" s="580">
        <f>AB50+AB53</f>
        <v>495000</v>
      </c>
    </row>
    <row r="55" spans="1:28">
      <c r="A55" s="6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1428"/>
      <c r="S55" s="1143"/>
      <c r="T55" s="1143"/>
      <c r="U55" s="1143"/>
      <c r="V55" s="1143"/>
      <c r="W55" s="1143"/>
      <c r="X55" s="1144"/>
      <c r="AB55" s="580">
        <f>H49-AB54</f>
        <v>-141000</v>
      </c>
    </row>
    <row r="56" spans="1:28">
      <c r="A56" s="1418" t="s">
        <v>1018</v>
      </c>
      <c r="B56" s="1400"/>
      <c r="C56" s="1400"/>
      <c r="D56" s="1400"/>
      <c r="E56" s="1400"/>
      <c r="F56" s="1400"/>
      <c r="G56" s="1400"/>
      <c r="H56" s="1400"/>
      <c r="I56" s="1400"/>
      <c r="J56" s="1400"/>
      <c r="K56" s="1400"/>
      <c r="L56" s="1400"/>
      <c r="M56" s="1400"/>
      <c r="N56" s="1400"/>
      <c r="O56" s="1400"/>
      <c r="P56" s="1400"/>
      <c r="Q56" s="44"/>
      <c r="R56" s="1426" t="s">
        <v>921</v>
      </c>
      <c r="S56" s="1140"/>
      <c r="T56" s="1140"/>
      <c r="U56" s="1140"/>
      <c r="V56" s="1140"/>
      <c r="W56" s="1140"/>
      <c r="X56" s="1141"/>
      <c r="AB56" s="580">
        <f>AB55/2</f>
        <v>-70500</v>
      </c>
    </row>
    <row r="57" spans="1:28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"/>
      <c r="R57" s="73"/>
      <c r="S57" s="75"/>
      <c r="T57" s="75"/>
      <c r="U57" s="75"/>
      <c r="V57" s="75"/>
      <c r="W57" s="75"/>
      <c r="X57" s="74"/>
      <c r="AB57" s="79">
        <f>AB56/6000</f>
        <v>-11.75</v>
      </c>
    </row>
    <row r="58" spans="1:28">
      <c r="A58" s="5">
        <v>1</v>
      </c>
      <c r="B58" t="s">
        <v>460</v>
      </c>
      <c r="C58" s="1"/>
      <c r="D58" s="1"/>
      <c r="E58" s="1"/>
      <c r="F58" s="1"/>
      <c r="G58" s="1"/>
      <c r="H58" s="1"/>
      <c r="I58" s="1"/>
      <c r="J58" s="1"/>
      <c r="K58" s="1" t="s">
        <v>193</v>
      </c>
      <c r="L58" s="1"/>
      <c r="M58" s="1"/>
      <c r="N58" s="1"/>
      <c r="O58" s="1"/>
      <c r="P58" s="1"/>
      <c r="Q58" s="1"/>
      <c r="R58" s="1147" t="s">
        <v>155</v>
      </c>
      <c r="S58" s="1146"/>
      <c r="T58" s="1146"/>
      <c r="U58" s="1146"/>
      <c r="V58" s="1146"/>
      <c r="W58" s="1146"/>
      <c r="X58" s="1149"/>
      <c r="AB58" s="79">
        <f>AB56/3000</f>
        <v>-23.5</v>
      </c>
    </row>
    <row r="59" spans="1:28">
      <c r="A59" s="5"/>
      <c r="B59" t="s">
        <v>1038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147" t="s">
        <v>114</v>
      </c>
      <c r="S59" s="1146"/>
      <c r="T59" s="1146"/>
      <c r="U59" s="1146"/>
      <c r="V59" s="1146"/>
      <c r="W59" s="1146"/>
      <c r="X59" s="1149"/>
    </row>
    <row r="60" spans="1:28">
      <c r="A60" s="5"/>
      <c r="B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35"/>
      <c r="S60" s="195"/>
      <c r="T60" s="195"/>
      <c r="U60" s="195"/>
      <c r="V60" s="195"/>
      <c r="W60" s="195"/>
      <c r="X60" s="2"/>
    </row>
    <row r="61" spans="1:28">
      <c r="A61" s="5">
        <v>2</v>
      </c>
      <c r="B61" s="195" t="s">
        <v>194</v>
      </c>
      <c r="G61" s="195"/>
      <c r="H61" s="195"/>
      <c r="I61" s="195"/>
      <c r="J61" s="195"/>
      <c r="K61" s="195"/>
      <c r="L61" s="195"/>
      <c r="M61" s="195"/>
      <c r="N61" s="195" t="s">
        <v>195</v>
      </c>
      <c r="O61" s="195"/>
      <c r="P61" s="1"/>
      <c r="Q61" s="1"/>
      <c r="R61" s="35"/>
      <c r="S61" s="1"/>
      <c r="T61" s="1"/>
      <c r="U61" s="1"/>
      <c r="V61" s="1"/>
      <c r="W61" s="1"/>
      <c r="X61" s="2"/>
    </row>
    <row r="62" spans="1:28">
      <c r="A62" s="5"/>
      <c r="B62" t="s">
        <v>1038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35"/>
      <c r="S62" s="1"/>
      <c r="T62" s="1"/>
      <c r="U62" s="1"/>
      <c r="V62" s="1"/>
      <c r="W62" s="1"/>
      <c r="X62" s="2"/>
    </row>
    <row r="63" spans="1:28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427" t="s">
        <v>115</v>
      </c>
      <c r="S63" s="1357"/>
      <c r="T63" s="1357"/>
      <c r="U63" s="1357"/>
      <c r="V63" s="1357"/>
      <c r="W63" s="1357"/>
      <c r="X63" s="1358"/>
    </row>
    <row r="64" spans="1:28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147" t="s">
        <v>116</v>
      </c>
      <c r="S64" s="1146"/>
      <c r="T64" s="1146"/>
      <c r="U64" s="1146"/>
      <c r="V64" s="1146"/>
      <c r="W64" s="1146"/>
      <c r="X64" s="1149"/>
    </row>
    <row r="65" spans="1:24" ht="15.75" thickBot="1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50"/>
      <c r="S65" s="49"/>
      <c r="T65" s="49"/>
      <c r="U65" s="49"/>
      <c r="V65" s="49"/>
      <c r="W65" s="49"/>
      <c r="X65" s="86"/>
    </row>
  </sheetData>
  <mergeCells count="82">
    <mergeCell ref="R55:X55"/>
    <mergeCell ref="A47:U47"/>
    <mergeCell ref="V47:X47"/>
    <mergeCell ref="R48:X48"/>
    <mergeCell ref="H49:L49"/>
    <mergeCell ref="R49:X49"/>
    <mergeCell ref="H50:L50"/>
    <mergeCell ref="H53:L53"/>
    <mergeCell ref="R53:X53"/>
    <mergeCell ref="R54:X54"/>
    <mergeCell ref="H52:L52"/>
    <mergeCell ref="H51:L51"/>
    <mergeCell ref="R50:X50"/>
    <mergeCell ref="R64:X64"/>
    <mergeCell ref="A56:P56"/>
    <mergeCell ref="R56:X56"/>
    <mergeCell ref="R58:X58"/>
    <mergeCell ref="R59:X59"/>
    <mergeCell ref="R63:X63"/>
    <mergeCell ref="A26:L26"/>
    <mergeCell ref="M26:P26"/>
    <mergeCell ref="R33:S33"/>
    <mergeCell ref="T33:U33"/>
    <mergeCell ref="V33:X33"/>
    <mergeCell ref="R32:S32"/>
    <mergeCell ref="T32:U32"/>
    <mergeCell ref="V32:X32"/>
    <mergeCell ref="A27:L27"/>
    <mergeCell ref="V27:X27"/>
    <mergeCell ref="A28:L28"/>
    <mergeCell ref="V28:X28"/>
    <mergeCell ref="A29:L29"/>
    <mergeCell ref="V29:X29"/>
    <mergeCell ref="A30:L30"/>
    <mergeCell ref="V30:X30"/>
    <mergeCell ref="U3:U4"/>
    <mergeCell ref="V3:V4"/>
    <mergeCell ref="W3:X3"/>
    <mergeCell ref="A14:X14"/>
    <mergeCell ref="A15:F15"/>
    <mergeCell ref="V31:X31"/>
    <mergeCell ref="T24:U24"/>
    <mergeCell ref="V24:X24"/>
    <mergeCell ref="R24:S24"/>
    <mergeCell ref="U15:X15"/>
    <mergeCell ref="U16:X16"/>
    <mergeCell ref="V17:X17"/>
    <mergeCell ref="V25:X25"/>
    <mergeCell ref="V26:X26"/>
    <mergeCell ref="U18:X18"/>
    <mergeCell ref="A1:O2"/>
    <mergeCell ref="A25:L25"/>
    <mergeCell ref="M25:P25"/>
    <mergeCell ref="R25:S25"/>
    <mergeCell ref="T25:U25"/>
    <mergeCell ref="U19:X19"/>
    <mergeCell ref="A21:X21"/>
    <mergeCell ref="A22:X22"/>
    <mergeCell ref="A23:L23"/>
    <mergeCell ref="M23:P24"/>
    <mergeCell ref="Q23:U23"/>
    <mergeCell ref="V23:X23"/>
    <mergeCell ref="A24:L24"/>
    <mergeCell ref="I15:T15"/>
    <mergeCell ref="U1:U2"/>
    <mergeCell ref="V1:V2"/>
    <mergeCell ref="W1:X1"/>
    <mergeCell ref="A5:V5"/>
    <mergeCell ref="A6:V6"/>
    <mergeCell ref="W2:X2"/>
    <mergeCell ref="P1:P2"/>
    <mergeCell ref="Q1:Q2"/>
    <mergeCell ref="W4:X4"/>
    <mergeCell ref="T3:T4"/>
    <mergeCell ref="A3:O4"/>
    <mergeCell ref="P3:P4"/>
    <mergeCell ref="Q3:Q4"/>
    <mergeCell ref="R3:R4"/>
    <mergeCell ref="S3:S4"/>
    <mergeCell ref="R1:R2"/>
    <mergeCell ref="S1:S2"/>
    <mergeCell ref="T1:T2"/>
  </mergeCells>
  <pageMargins left="0.7" right="0.7" top="0.75" bottom="0.75" header="0.3" footer="0.3"/>
  <pageSetup paperSize="5" scale="80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58"/>
  <sheetViews>
    <sheetView topLeftCell="A40" workbookViewId="0">
      <selection activeCell="AA52" sqref="AA52"/>
    </sheetView>
  </sheetViews>
  <sheetFormatPr defaultRowHeight="15"/>
  <cols>
    <col min="1" max="1" width="2.140625" customWidth="1"/>
    <col min="2" max="2" width="1.85546875" customWidth="1"/>
    <col min="3" max="3" width="1.7109375" customWidth="1"/>
    <col min="4" max="4" width="4.42578125" customWidth="1"/>
    <col min="5" max="5" width="2.5703125" customWidth="1"/>
    <col min="6" max="7" width="2.42578125" customWidth="1"/>
    <col min="8" max="8" width="2" customWidth="1"/>
    <col min="9" max="9" width="2.42578125" customWidth="1"/>
    <col min="10" max="10" width="2.28515625" customWidth="1"/>
    <col min="11" max="11" width="2.42578125" customWidth="1"/>
    <col min="12" max="12" width="3.28515625" customWidth="1"/>
    <col min="15" max="15" width="7.140625" customWidth="1"/>
    <col min="16" max="17" width="5.140625" customWidth="1"/>
    <col min="18" max="18" width="4.7109375" customWidth="1"/>
    <col min="19" max="19" width="4.140625" customWidth="1"/>
    <col min="20" max="20" width="5.140625" customWidth="1"/>
    <col min="21" max="21" width="6.140625" customWidth="1"/>
    <col min="22" max="22" width="4.28515625" customWidth="1"/>
    <col min="23" max="23" width="4.42578125" customWidth="1"/>
    <col min="24" max="24" width="11.5703125" customWidth="1"/>
    <col min="27" max="27" width="15.28515625" customWidth="1"/>
    <col min="29" max="29" width="14.28515625" customWidth="1"/>
  </cols>
  <sheetData>
    <row r="1" spans="1:24" ht="10.5" customHeight="1">
      <c r="A1" s="1446" t="s">
        <v>0</v>
      </c>
      <c r="B1" s="1447"/>
      <c r="C1" s="1447"/>
      <c r="D1" s="1447"/>
      <c r="E1" s="1447"/>
      <c r="F1" s="1447"/>
      <c r="G1" s="1447"/>
      <c r="H1" s="1447"/>
      <c r="I1" s="1447"/>
      <c r="J1" s="1447"/>
      <c r="K1" s="1447"/>
      <c r="L1" s="1447"/>
      <c r="M1" s="1447"/>
      <c r="N1" s="1447"/>
      <c r="O1" s="1448"/>
      <c r="P1" s="1281" t="s">
        <v>528</v>
      </c>
      <c r="Q1" s="1282" t="s">
        <v>528</v>
      </c>
      <c r="R1" s="1445" t="s">
        <v>157</v>
      </c>
      <c r="S1" s="1445" t="s">
        <v>157</v>
      </c>
      <c r="T1" s="1445" t="s">
        <v>157</v>
      </c>
      <c r="U1" s="1282" t="s">
        <v>158</v>
      </c>
      <c r="V1" s="1435" t="s">
        <v>159</v>
      </c>
      <c r="W1" s="1452"/>
      <c r="X1" s="1453"/>
    </row>
    <row r="2" spans="1:24" ht="11.25" customHeight="1">
      <c r="A2" s="1449"/>
      <c r="B2" s="1450"/>
      <c r="C2" s="1450"/>
      <c r="D2" s="1450"/>
      <c r="E2" s="1450"/>
      <c r="F2" s="1450"/>
      <c r="G2" s="1450"/>
      <c r="H2" s="1450"/>
      <c r="I2" s="1450"/>
      <c r="J2" s="1450"/>
      <c r="K2" s="1450"/>
      <c r="L2" s="1450"/>
      <c r="M2" s="1450"/>
      <c r="N2" s="1450"/>
      <c r="O2" s="1451"/>
      <c r="P2" s="1375"/>
      <c r="Q2" s="1376"/>
      <c r="R2" s="1376"/>
      <c r="S2" s="1377"/>
      <c r="T2" s="1377"/>
      <c r="U2" s="1376"/>
      <c r="V2" s="1376"/>
      <c r="W2" s="1443" t="s">
        <v>1</v>
      </c>
      <c r="X2" s="1444"/>
    </row>
    <row r="3" spans="1:24" ht="5.25" customHeight="1">
      <c r="A3" s="1449" t="s">
        <v>2</v>
      </c>
      <c r="B3" s="1450"/>
      <c r="C3" s="1450"/>
      <c r="D3" s="1450"/>
      <c r="E3" s="1450"/>
      <c r="F3" s="1450"/>
      <c r="G3" s="1450"/>
      <c r="H3" s="1450"/>
      <c r="I3" s="1450"/>
      <c r="J3" s="1450"/>
      <c r="K3" s="1450"/>
      <c r="L3" s="1450"/>
      <c r="M3" s="1450"/>
      <c r="N3" s="1450"/>
      <c r="O3" s="1451"/>
      <c r="P3" s="1375"/>
      <c r="Q3" s="1376"/>
      <c r="R3" s="1377"/>
      <c r="S3" s="1377"/>
      <c r="T3" s="1377"/>
      <c r="U3" s="1376"/>
      <c r="V3" s="1376"/>
      <c r="W3" s="1443"/>
      <c r="X3" s="1444"/>
    </row>
    <row r="4" spans="1:24" ht="15.75" customHeight="1">
      <c r="A4" s="1440"/>
      <c r="B4" s="1441"/>
      <c r="C4" s="1441"/>
      <c r="D4" s="1441"/>
      <c r="E4" s="1441"/>
      <c r="F4" s="1441"/>
      <c r="G4" s="1441"/>
      <c r="H4" s="1441"/>
      <c r="I4" s="1441"/>
      <c r="J4" s="1441"/>
      <c r="K4" s="1441"/>
      <c r="L4" s="1441"/>
      <c r="M4" s="1441"/>
      <c r="N4" s="1441"/>
      <c r="O4" s="1442"/>
      <c r="P4" s="1284"/>
      <c r="Q4" s="1285"/>
      <c r="R4" s="1285"/>
      <c r="S4" s="1378"/>
      <c r="T4" s="1378"/>
      <c r="U4" s="1285"/>
      <c r="V4" s="1285"/>
      <c r="W4" s="1436" t="s">
        <v>1040</v>
      </c>
      <c r="X4" s="1393"/>
    </row>
    <row r="5" spans="1:24" ht="18.75" customHeight="1">
      <c r="A5" s="1437" t="s">
        <v>717</v>
      </c>
      <c r="B5" s="1438"/>
      <c r="C5" s="1438"/>
      <c r="D5" s="1438"/>
      <c r="E5" s="1438"/>
      <c r="F5" s="1438"/>
      <c r="G5" s="1438"/>
      <c r="H5" s="1438"/>
      <c r="I5" s="1438"/>
      <c r="J5" s="1438"/>
      <c r="K5" s="1438"/>
      <c r="L5" s="1438"/>
      <c r="M5" s="1438"/>
      <c r="N5" s="1438"/>
      <c r="O5" s="1438"/>
      <c r="P5" s="1438"/>
      <c r="Q5" s="1438"/>
      <c r="R5" s="1438"/>
      <c r="S5" s="1438"/>
      <c r="T5" s="1438"/>
      <c r="U5" s="1438"/>
      <c r="V5" s="1439"/>
      <c r="W5" s="854"/>
      <c r="X5" s="853"/>
    </row>
    <row r="6" spans="1:24" ht="18" customHeight="1">
      <c r="A6" s="1440" t="s">
        <v>922</v>
      </c>
      <c r="B6" s="1441"/>
      <c r="C6" s="1441"/>
      <c r="D6" s="1441"/>
      <c r="E6" s="1441"/>
      <c r="F6" s="1441"/>
      <c r="G6" s="1441"/>
      <c r="H6" s="1441"/>
      <c r="I6" s="1441"/>
      <c r="J6" s="1441"/>
      <c r="K6" s="1441"/>
      <c r="L6" s="1441"/>
      <c r="M6" s="1441"/>
      <c r="N6" s="1441"/>
      <c r="O6" s="1441"/>
      <c r="P6" s="1441"/>
      <c r="Q6" s="1441"/>
      <c r="R6" s="1441"/>
      <c r="S6" s="1441"/>
      <c r="T6" s="1441"/>
      <c r="U6" s="1441"/>
      <c r="V6" s="1442"/>
      <c r="W6" s="855"/>
      <c r="X6" s="851"/>
    </row>
    <row r="7" spans="1:24">
      <c r="A7" s="233" t="s">
        <v>5</v>
      </c>
      <c r="B7" s="197"/>
      <c r="C7" s="197"/>
      <c r="D7" s="197"/>
      <c r="E7" s="197"/>
      <c r="F7" s="197"/>
      <c r="G7" s="197"/>
      <c r="H7" s="197"/>
      <c r="I7" s="197"/>
      <c r="J7" s="197"/>
      <c r="K7" s="197" t="s">
        <v>6</v>
      </c>
      <c r="L7" s="197" t="s">
        <v>528</v>
      </c>
      <c r="M7" s="197"/>
      <c r="N7" s="197"/>
      <c r="O7" s="197"/>
      <c r="P7" s="197"/>
      <c r="Q7" s="197" t="s">
        <v>8</v>
      </c>
      <c r="R7" s="197"/>
      <c r="S7" s="197"/>
      <c r="T7" s="197"/>
      <c r="U7" s="197"/>
      <c r="V7" s="197"/>
      <c r="W7" s="197"/>
      <c r="X7" s="234"/>
    </row>
    <row r="8" spans="1:24">
      <c r="A8" s="233" t="s">
        <v>9</v>
      </c>
      <c r="B8" s="197"/>
      <c r="C8" s="197"/>
      <c r="D8" s="197"/>
      <c r="E8" s="197"/>
      <c r="F8" s="197"/>
      <c r="G8" s="197"/>
      <c r="H8" s="197"/>
      <c r="I8" s="197"/>
      <c r="J8" s="197"/>
      <c r="K8" s="197" t="s">
        <v>6</v>
      </c>
      <c r="L8" s="199" t="s">
        <v>529</v>
      </c>
      <c r="M8" s="199"/>
      <c r="N8" s="197"/>
      <c r="O8" s="197"/>
      <c r="P8" s="197"/>
      <c r="Q8" s="197" t="s">
        <v>11</v>
      </c>
      <c r="R8" s="197"/>
      <c r="S8" s="197"/>
      <c r="T8" s="197"/>
      <c r="U8" s="197"/>
      <c r="V8" s="197"/>
      <c r="W8" s="197"/>
      <c r="X8" s="234"/>
    </row>
    <row r="9" spans="1:24">
      <c r="A9" s="233" t="s">
        <v>162</v>
      </c>
      <c r="B9" s="197"/>
      <c r="C9" s="197"/>
      <c r="D9" s="197"/>
      <c r="E9" s="197"/>
      <c r="F9" s="197"/>
      <c r="G9" s="197"/>
      <c r="H9" s="197"/>
      <c r="I9" s="197"/>
      <c r="J9" s="197"/>
      <c r="K9" s="197" t="s">
        <v>6</v>
      </c>
      <c r="L9" s="197" t="s">
        <v>557</v>
      </c>
      <c r="M9" s="197"/>
      <c r="N9" s="197"/>
      <c r="O9" s="197"/>
      <c r="P9" s="197"/>
      <c r="Q9" s="197" t="s">
        <v>163</v>
      </c>
      <c r="R9" s="197"/>
      <c r="S9" s="197"/>
      <c r="T9" s="197"/>
      <c r="U9" s="197"/>
      <c r="V9" s="197"/>
      <c r="W9" s="197"/>
      <c r="X9" s="234"/>
    </row>
    <row r="10" spans="1:24">
      <c r="A10" s="233" t="s">
        <v>58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 t="s">
        <v>6</v>
      </c>
      <c r="L10" s="197" t="s">
        <v>558</v>
      </c>
      <c r="M10" s="197"/>
      <c r="N10" s="197"/>
      <c r="O10" s="197"/>
      <c r="P10" s="197"/>
      <c r="Q10" s="197" t="s">
        <v>199</v>
      </c>
      <c r="R10" s="197"/>
      <c r="S10" s="197"/>
      <c r="T10" s="197"/>
      <c r="U10" s="197"/>
      <c r="V10" s="197"/>
      <c r="W10" s="197"/>
      <c r="X10" s="234"/>
    </row>
    <row r="11" spans="1:24">
      <c r="A11" s="233" t="s">
        <v>165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 t="s">
        <v>6</v>
      </c>
      <c r="L11" s="197" t="s">
        <v>923</v>
      </c>
      <c r="M11" s="197"/>
      <c r="N11" s="197"/>
      <c r="O11" s="197"/>
      <c r="P11" s="197"/>
      <c r="Q11" s="200" t="s">
        <v>200</v>
      </c>
      <c r="R11" s="197"/>
      <c r="S11" s="197"/>
      <c r="T11" s="197"/>
      <c r="U11" s="197"/>
      <c r="V11" s="197"/>
      <c r="W11" s="197"/>
      <c r="X11" s="234"/>
    </row>
    <row r="12" spans="1:24">
      <c r="A12" s="233" t="s">
        <v>1021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 t="s">
        <v>6</v>
      </c>
      <c r="L12" s="66" t="s">
        <v>919</v>
      </c>
      <c r="M12" s="197"/>
      <c r="N12" s="197"/>
      <c r="O12" s="197"/>
      <c r="P12" s="197"/>
      <c r="Q12" s="200"/>
      <c r="R12" s="197"/>
      <c r="S12" s="197"/>
      <c r="T12" s="197"/>
      <c r="U12" s="197"/>
      <c r="V12" s="197"/>
      <c r="W12" s="197"/>
      <c r="X12" s="234"/>
    </row>
    <row r="13" spans="1:24">
      <c r="A13" s="233" t="s">
        <v>167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 t="s">
        <v>6</v>
      </c>
      <c r="L13" s="197" t="s">
        <v>68</v>
      </c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234"/>
    </row>
    <row r="14" spans="1:24">
      <c r="A14" s="1418" t="s">
        <v>168</v>
      </c>
      <c r="B14" s="1400"/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0"/>
      <c r="U14" s="1400"/>
      <c r="V14" s="1400"/>
      <c r="W14" s="1400"/>
      <c r="X14" s="1405"/>
    </row>
    <row r="15" spans="1:24">
      <c r="A15" s="1418" t="s">
        <v>169</v>
      </c>
      <c r="B15" s="1400"/>
      <c r="C15" s="1400"/>
      <c r="D15" s="1400"/>
      <c r="E15" s="1400"/>
      <c r="F15" s="1400"/>
      <c r="G15" s="215"/>
      <c r="H15" s="215"/>
      <c r="I15" s="1399" t="s">
        <v>170</v>
      </c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3"/>
      <c r="U15" s="1399" t="s">
        <v>171</v>
      </c>
      <c r="V15" s="1400"/>
      <c r="W15" s="1400"/>
      <c r="X15" s="1405"/>
    </row>
    <row r="16" spans="1:24">
      <c r="A16" s="235" t="s">
        <v>172</v>
      </c>
      <c r="B16" s="202"/>
      <c r="C16" s="202"/>
      <c r="D16" s="202"/>
      <c r="E16" s="202"/>
      <c r="F16" s="202"/>
      <c r="G16" s="202"/>
      <c r="H16" s="202"/>
      <c r="I16" s="201" t="s">
        <v>201</v>
      </c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3"/>
      <c r="U16" s="1482">
        <v>1</v>
      </c>
      <c r="V16" s="1483"/>
      <c r="W16" s="1483"/>
      <c r="X16" s="1484"/>
    </row>
    <row r="17" spans="1:27">
      <c r="A17" s="233" t="s">
        <v>174</v>
      </c>
      <c r="B17" s="197"/>
      <c r="C17" s="197"/>
      <c r="D17" s="197"/>
      <c r="E17" s="197"/>
      <c r="F17" s="197"/>
      <c r="G17" s="197"/>
      <c r="H17" s="197"/>
      <c r="I17" s="196" t="s">
        <v>175</v>
      </c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8"/>
      <c r="U17" s="204" t="s">
        <v>154</v>
      </c>
      <c r="V17" s="1457">
        <f>V29</f>
        <v>57000000</v>
      </c>
      <c r="W17" s="1457"/>
      <c r="X17" s="1462"/>
    </row>
    <row r="18" spans="1:27">
      <c r="A18" s="233" t="s">
        <v>176</v>
      </c>
      <c r="B18" s="197"/>
      <c r="C18" s="197"/>
      <c r="D18" s="197"/>
      <c r="E18" s="197"/>
      <c r="F18" s="197"/>
      <c r="G18" s="197"/>
      <c r="H18" s="197"/>
      <c r="I18" s="196" t="s">
        <v>202</v>
      </c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8"/>
      <c r="U18" s="1208" t="s">
        <v>178</v>
      </c>
      <c r="V18" s="1209"/>
      <c r="W18" s="1209"/>
      <c r="X18" s="1210"/>
    </row>
    <row r="19" spans="1:27">
      <c r="A19" s="236" t="s">
        <v>179</v>
      </c>
      <c r="B19" s="206"/>
      <c r="C19" s="206"/>
      <c r="D19" s="206"/>
      <c r="E19" s="206"/>
      <c r="F19" s="206"/>
      <c r="G19" s="206"/>
      <c r="H19" s="206"/>
      <c r="I19" s="205" t="s">
        <v>203</v>
      </c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7"/>
      <c r="U19" s="1478" t="s">
        <v>181</v>
      </c>
      <c r="V19" s="1479"/>
      <c r="W19" s="1479"/>
      <c r="X19" s="1480"/>
    </row>
    <row r="20" spans="1:27">
      <c r="A20" s="233" t="s">
        <v>182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 t="s">
        <v>6</v>
      </c>
      <c r="M20" s="197" t="s">
        <v>920</v>
      </c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234"/>
    </row>
    <row r="21" spans="1:27">
      <c r="A21" s="1321" t="s">
        <v>718</v>
      </c>
      <c r="B21" s="1322"/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3"/>
    </row>
    <row r="22" spans="1:27">
      <c r="A22" s="1164" t="s">
        <v>719</v>
      </c>
      <c r="B22" s="1165"/>
      <c r="C22" s="1165"/>
      <c r="D22" s="1165"/>
      <c r="E22" s="1165"/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  <c r="R22" s="1165"/>
      <c r="S22" s="1165"/>
      <c r="T22" s="1165"/>
      <c r="U22" s="1165"/>
      <c r="V22" s="1165"/>
      <c r="W22" s="1165"/>
      <c r="X22" s="1393"/>
    </row>
    <row r="23" spans="1:27">
      <c r="A23" s="1321" t="s">
        <v>185</v>
      </c>
      <c r="B23" s="1322"/>
      <c r="C23" s="1322"/>
      <c r="D23" s="1322"/>
      <c r="E23" s="1322"/>
      <c r="F23" s="1322"/>
      <c r="G23" s="1322"/>
      <c r="H23" s="1322"/>
      <c r="I23" s="1322"/>
      <c r="J23" s="1322"/>
      <c r="K23" s="1322"/>
      <c r="L23" s="1394"/>
      <c r="M23" s="1395" t="s">
        <v>14</v>
      </c>
      <c r="N23" s="1396"/>
      <c r="O23" s="1396"/>
      <c r="P23" s="1397"/>
      <c r="Q23" s="1401" t="s">
        <v>121</v>
      </c>
      <c r="R23" s="1322"/>
      <c r="S23" s="1322"/>
      <c r="T23" s="1322"/>
      <c r="U23" s="1322"/>
      <c r="V23" s="1401" t="s">
        <v>15</v>
      </c>
      <c r="W23" s="1322"/>
      <c r="X23" s="1323"/>
    </row>
    <row r="24" spans="1:27">
      <c r="A24" s="1164" t="s">
        <v>16</v>
      </c>
      <c r="B24" s="1165"/>
      <c r="C24" s="1165"/>
      <c r="D24" s="1165"/>
      <c r="E24" s="1165"/>
      <c r="F24" s="1165"/>
      <c r="G24" s="1165"/>
      <c r="H24" s="1165"/>
      <c r="I24" s="1165"/>
      <c r="J24" s="1165"/>
      <c r="K24" s="1165"/>
      <c r="L24" s="1166"/>
      <c r="M24" s="1398"/>
      <c r="N24" s="1173"/>
      <c r="O24" s="1173"/>
      <c r="P24" s="1174"/>
      <c r="Q24" s="90" t="s">
        <v>122</v>
      </c>
      <c r="R24" s="1399" t="s">
        <v>123</v>
      </c>
      <c r="S24" s="1403"/>
      <c r="T24" s="1399" t="s">
        <v>124</v>
      </c>
      <c r="U24" s="1403"/>
      <c r="V24" s="1436" t="s">
        <v>17</v>
      </c>
      <c r="W24" s="1165"/>
      <c r="X24" s="1393"/>
    </row>
    <row r="25" spans="1:27">
      <c r="A25" s="1472">
        <v>1</v>
      </c>
      <c r="B25" s="1473"/>
      <c r="C25" s="1473"/>
      <c r="D25" s="1473"/>
      <c r="E25" s="1473"/>
      <c r="F25" s="1473"/>
      <c r="G25" s="1473"/>
      <c r="H25" s="1473"/>
      <c r="I25" s="1473"/>
      <c r="J25" s="1473"/>
      <c r="K25" s="1473"/>
      <c r="L25" s="1474"/>
      <c r="M25" s="1472">
        <v>2</v>
      </c>
      <c r="N25" s="1473"/>
      <c r="O25" s="1473"/>
      <c r="P25" s="1474"/>
      <c r="Q25" s="208">
        <v>3</v>
      </c>
      <c r="R25" s="1472">
        <v>4</v>
      </c>
      <c r="S25" s="1474"/>
      <c r="T25" s="1472">
        <v>5</v>
      </c>
      <c r="U25" s="1474"/>
      <c r="V25" s="1472" t="s">
        <v>1041</v>
      </c>
      <c r="W25" s="1473"/>
      <c r="X25" s="1481"/>
    </row>
    <row r="26" spans="1:27">
      <c r="A26" s="1467" t="s">
        <v>722</v>
      </c>
      <c r="B26" s="1355"/>
      <c r="C26" s="1355"/>
      <c r="D26" s="1355"/>
      <c r="E26" s="1355"/>
      <c r="F26" s="1355"/>
      <c r="G26" s="1355"/>
      <c r="H26" s="1355"/>
      <c r="I26" s="1355"/>
      <c r="J26" s="1355"/>
      <c r="K26" s="1355"/>
      <c r="L26" s="1356"/>
      <c r="M26" s="1420" t="s">
        <v>551</v>
      </c>
      <c r="N26" s="1420"/>
      <c r="O26" s="1420"/>
      <c r="P26" s="1421"/>
      <c r="Q26" s="349"/>
      <c r="R26" s="349"/>
      <c r="S26" s="351"/>
      <c r="T26" s="350"/>
      <c r="U26" s="350"/>
      <c r="V26" s="1475">
        <f>V27</f>
        <v>57000000</v>
      </c>
      <c r="W26" s="1476"/>
      <c r="X26" s="1477"/>
    </row>
    <row r="27" spans="1:27">
      <c r="A27" s="1467" t="s">
        <v>723</v>
      </c>
      <c r="B27" s="1355"/>
      <c r="C27" s="1355"/>
      <c r="D27" s="1355"/>
      <c r="E27" s="1355"/>
      <c r="F27" s="1355"/>
      <c r="G27" s="1355"/>
      <c r="H27" s="1355"/>
      <c r="I27" s="1355"/>
      <c r="J27" s="1355"/>
      <c r="K27" s="1355"/>
      <c r="L27" s="1356"/>
      <c r="M27" s="84" t="s">
        <v>23</v>
      </c>
      <c r="N27" s="84"/>
      <c r="O27" s="84"/>
      <c r="P27" s="85"/>
      <c r="Q27" s="83"/>
      <c r="R27" s="83"/>
      <c r="S27" s="85"/>
      <c r="T27" s="84"/>
      <c r="U27" s="84"/>
      <c r="V27" s="1468">
        <f>V28</f>
        <v>57000000</v>
      </c>
      <c r="W27" s="1424"/>
      <c r="X27" s="1425"/>
    </row>
    <row r="28" spans="1:27">
      <c r="A28" s="1467" t="s">
        <v>567</v>
      </c>
      <c r="B28" s="1355"/>
      <c r="C28" s="1355"/>
      <c r="D28" s="1355"/>
      <c r="E28" s="1355"/>
      <c r="F28" s="1355"/>
      <c r="G28" s="1355"/>
      <c r="H28" s="1355"/>
      <c r="I28" s="1355"/>
      <c r="J28" s="1355"/>
      <c r="K28" s="1355"/>
      <c r="L28" s="1356"/>
      <c r="M28" s="84" t="s">
        <v>24</v>
      </c>
      <c r="N28" s="84"/>
      <c r="O28" s="84"/>
      <c r="P28" s="85"/>
      <c r="Q28" s="83"/>
      <c r="R28" s="83"/>
      <c r="S28" s="85"/>
      <c r="T28" s="84"/>
      <c r="U28" s="84"/>
      <c r="V28" s="1468">
        <f>V29</f>
        <v>57000000</v>
      </c>
      <c r="W28" s="1424"/>
      <c r="X28" s="1425"/>
    </row>
    <row r="29" spans="1:27">
      <c r="A29" s="1467" t="s">
        <v>569</v>
      </c>
      <c r="B29" s="1355"/>
      <c r="C29" s="1355"/>
      <c r="D29" s="1355"/>
      <c r="E29" s="1355"/>
      <c r="F29" s="1355"/>
      <c r="G29" s="1355"/>
      <c r="H29" s="1355"/>
      <c r="I29" s="1355"/>
      <c r="J29" s="1355"/>
      <c r="K29" s="1355"/>
      <c r="L29" s="1356"/>
      <c r="M29" s="84" t="s">
        <v>204</v>
      </c>
      <c r="N29" s="84"/>
      <c r="O29" s="84"/>
      <c r="P29" s="85"/>
      <c r="Q29" s="83"/>
      <c r="R29" s="83"/>
      <c r="S29" s="85"/>
      <c r="T29" s="84"/>
      <c r="U29" s="84"/>
      <c r="V29" s="1469">
        <f>V30+V33+V36</f>
        <v>57000000</v>
      </c>
      <c r="W29" s="1470"/>
      <c r="X29" s="1471"/>
    </row>
    <row r="30" spans="1:27">
      <c r="A30" s="1354" t="s">
        <v>568</v>
      </c>
      <c r="B30" s="1355"/>
      <c r="C30" s="1355"/>
      <c r="D30" s="1355"/>
      <c r="E30" s="1355"/>
      <c r="F30" s="1355"/>
      <c r="G30" s="1355"/>
      <c r="H30" s="1355"/>
      <c r="I30" s="1355"/>
      <c r="J30" s="1355"/>
      <c r="K30" s="1355"/>
      <c r="L30" s="1356"/>
      <c r="M30" s="196" t="s">
        <v>205</v>
      </c>
      <c r="N30" s="197"/>
      <c r="O30" s="197"/>
      <c r="P30" s="198"/>
      <c r="Q30" s="196"/>
      <c r="R30" s="196"/>
      <c r="S30" s="198"/>
      <c r="T30" s="197"/>
      <c r="U30" s="197"/>
      <c r="V30" s="1461">
        <f>V31</f>
        <v>12000000</v>
      </c>
      <c r="W30" s="1457"/>
      <c r="X30" s="1462"/>
    </row>
    <row r="31" spans="1:27">
      <c r="A31" s="233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8"/>
      <c r="M31" s="209" t="s">
        <v>206</v>
      </c>
      <c r="N31" s="197"/>
      <c r="O31" s="197"/>
      <c r="P31" s="198"/>
      <c r="Q31" s="216">
        <v>1</v>
      </c>
      <c r="R31" s="1208" t="s">
        <v>422</v>
      </c>
      <c r="S31" s="1459"/>
      <c r="T31" s="1318">
        <v>12000000</v>
      </c>
      <c r="U31" s="1460"/>
      <c r="V31" s="1461">
        <f>Q31*T31</f>
        <v>12000000</v>
      </c>
      <c r="W31" s="1457"/>
      <c r="X31" s="1462"/>
      <c r="AA31" s="580"/>
    </row>
    <row r="32" spans="1:27">
      <c r="A32" s="233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8"/>
      <c r="M32" s="196"/>
      <c r="N32" s="197"/>
      <c r="O32" s="197"/>
      <c r="P32" s="198"/>
      <c r="Q32" s="216"/>
      <c r="R32" s="196"/>
      <c r="S32" s="198"/>
      <c r="T32" s="197"/>
      <c r="U32" s="197"/>
      <c r="V32" s="196"/>
      <c r="W32" s="197"/>
      <c r="X32" s="234"/>
      <c r="AA32" s="580"/>
    </row>
    <row r="33" spans="1:29">
      <c r="A33" s="1467" t="s">
        <v>570</v>
      </c>
      <c r="B33" s="1355"/>
      <c r="C33" s="1355"/>
      <c r="D33" s="1355"/>
      <c r="E33" s="1355"/>
      <c r="F33" s="1355"/>
      <c r="G33" s="1355"/>
      <c r="H33" s="1355"/>
      <c r="I33" s="1355"/>
      <c r="J33" s="1355"/>
      <c r="K33" s="1355"/>
      <c r="L33" s="1356"/>
      <c r="M33" s="197" t="s">
        <v>208</v>
      </c>
      <c r="N33" s="197"/>
      <c r="O33" s="197"/>
      <c r="P33" s="198"/>
      <c r="Q33" s="216"/>
      <c r="R33" s="196"/>
      <c r="S33" s="198"/>
      <c r="T33" s="197"/>
      <c r="U33" s="197"/>
      <c r="V33" s="1461">
        <f>V34</f>
        <v>10000000</v>
      </c>
      <c r="W33" s="1457"/>
      <c r="X33" s="1462"/>
      <c r="AA33" s="580"/>
    </row>
    <row r="34" spans="1:29">
      <c r="A34" s="233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8"/>
      <c r="M34" s="209" t="s">
        <v>209</v>
      </c>
      <c r="N34" s="197"/>
      <c r="O34" s="197"/>
      <c r="P34" s="198"/>
      <c r="Q34" s="216">
        <v>1</v>
      </c>
      <c r="R34" s="1208" t="s">
        <v>422</v>
      </c>
      <c r="S34" s="1459"/>
      <c r="T34" s="1318">
        <v>10000000</v>
      </c>
      <c r="U34" s="1460"/>
      <c r="V34" s="1461">
        <f>Q34*T34</f>
        <v>10000000</v>
      </c>
      <c r="W34" s="1457"/>
      <c r="X34" s="1462"/>
      <c r="AA34" s="580"/>
    </row>
    <row r="35" spans="1:29">
      <c r="A35" s="233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8"/>
      <c r="M35" s="196"/>
      <c r="N35" s="197"/>
      <c r="O35" s="197"/>
      <c r="P35" s="198"/>
      <c r="Q35" s="216"/>
      <c r="R35" s="196"/>
      <c r="S35" s="198"/>
      <c r="T35" s="197"/>
      <c r="U35" s="197"/>
      <c r="V35" s="196"/>
      <c r="W35" s="197"/>
      <c r="X35" s="234"/>
      <c r="AA35" s="580">
        <f>V40/4</f>
        <v>14250000</v>
      </c>
    </row>
    <row r="36" spans="1:29">
      <c r="A36" s="1467" t="s">
        <v>571</v>
      </c>
      <c r="B36" s="1355"/>
      <c r="C36" s="1355"/>
      <c r="D36" s="1355"/>
      <c r="E36" s="1355"/>
      <c r="F36" s="1355"/>
      <c r="G36" s="1355"/>
      <c r="H36" s="1355"/>
      <c r="I36" s="1355"/>
      <c r="J36" s="1355"/>
      <c r="K36" s="1355"/>
      <c r="L36" s="1356"/>
      <c r="M36" s="197" t="s">
        <v>210</v>
      </c>
      <c r="N36" s="197"/>
      <c r="O36" s="197"/>
      <c r="P36" s="198"/>
      <c r="Q36" s="216"/>
      <c r="R36" s="196"/>
      <c r="S36" s="198"/>
      <c r="T36" s="197"/>
      <c r="U36" s="197"/>
      <c r="V36" s="1461">
        <f>V37</f>
        <v>35000000</v>
      </c>
      <c r="W36" s="1457"/>
      <c r="X36" s="1462"/>
      <c r="AA36" s="580"/>
    </row>
    <row r="37" spans="1:29">
      <c r="A37" s="233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8"/>
      <c r="M37" s="209" t="s">
        <v>211</v>
      </c>
      <c r="N37" s="197"/>
      <c r="O37" s="197"/>
      <c r="P37" s="198"/>
      <c r="Q37" s="216">
        <v>1</v>
      </c>
      <c r="R37" s="1208" t="s">
        <v>422</v>
      </c>
      <c r="S37" s="1459"/>
      <c r="T37" s="1318">
        <v>35000000</v>
      </c>
      <c r="U37" s="1460"/>
      <c r="V37" s="1461">
        <f>Q37*T37</f>
        <v>35000000</v>
      </c>
      <c r="W37" s="1457"/>
      <c r="X37" s="1462"/>
      <c r="AA37" s="580"/>
      <c r="AC37" s="79"/>
    </row>
    <row r="38" spans="1:29">
      <c r="A38" s="233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8"/>
      <c r="M38" s="196"/>
      <c r="N38" s="197"/>
      <c r="O38" s="197"/>
      <c r="P38" s="198"/>
      <c r="Q38" s="196"/>
      <c r="R38" s="196"/>
      <c r="S38" s="198"/>
      <c r="T38" s="197"/>
      <c r="U38" s="197"/>
      <c r="V38" s="196"/>
      <c r="W38" s="197"/>
      <c r="X38" s="234"/>
      <c r="AA38" s="580"/>
    </row>
    <row r="39" spans="1:29">
      <c r="A39" s="236"/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7"/>
      <c r="M39" s="205"/>
      <c r="N39" s="206"/>
      <c r="O39" s="206"/>
      <c r="P39" s="207"/>
      <c r="Q39" s="205"/>
      <c r="R39" s="205"/>
      <c r="S39" s="207"/>
      <c r="T39" s="206"/>
      <c r="U39" s="206"/>
      <c r="V39" s="196"/>
      <c r="W39" s="197"/>
      <c r="X39" s="234"/>
    </row>
    <row r="40" spans="1:29">
      <c r="A40" s="236" t="s">
        <v>110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10"/>
      <c r="R40" s="206"/>
      <c r="S40" s="206"/>
      <c r="T40" s="206"/>
      <c r="U40" s="206"/>
      <c r="V40" s="1463">
        <f>V30+V33+V36</f>
        <v>57000000</v>
      </c>
      <c r="W40" s="1464"/>
      <c r="X40" s="1465"/>
      <c r="AA40" s="79"/>
    </row>
    <row r="41" spans="1:29" ht="18.75" customHeight="1" thickBot="1">
      <c r="A41" s="838" t="s">
        <v>1035</v>
      </c>
      <c r="B41" s="839"/>
      <c r="C41" s="839"/>
      <c r="D41" s="839"/>
      <c r="E41" s="839"/>
      <c r="F41" s="839"/>
      <c r="G41" s="839"/>
      <c r="H41" s="839"/>
      <c r="I41" s="839"/>
      <c r="J41" s="839"/>
      <c r="K41" s="839"/>
      <c r="L41" s="839"/>
      <c r="M41" s="839"/>
      <c r="N41" s="839"/>
      <c r="O41" s="839"/>
      <c r="P41" s="839"/>
      <c r="Q41" s="839"/>
      <c r="R41" s="1466"/>
      <c r="S41" s="1368"/>
      <c r="T41" s="1368"/>
      <c r="U41" s="1368"/>
      <c r="V41" s="1368"/>
      <c r="W41" s="1368"/>
      <c r="X41" s="1369"/>
      <c r="AA41" s="581"/>
    </row>
    <row r="42" spans="1:29">
      <c r="A42" s="233" t="s">
        <v>106</v>
      </c>
      <c r="B42" s="197"/>
      <c r="C42" s="197"/>
      <c r="D42" s="197"/>
      <c r="E42" s="197" t="s">
        <v>6</v>
      </c>
      <c r="F42" s="197" t="s">
        <v>154</v>
      </c>
      <c r="G42" s="197"/>
      <c r="H42" s="1457">
        <v>14250000</v>
      </c>
      <c r="I42" s="1457"/>
      <c r="J42" s="1457"/>
      <c r="K42" s="1457"/>
      <c r="L42" s="1457"/>
      <c r="M42" s="1457"/>
      <c r="N42" s="197"/>
      <c r="O42" s="197"/>
      <c r="P42" s="197"/>
      <c r="Q42" s="197"/>
      <c r="R42" s="1147" t="s">
        <v>584</v>
      </c>
      <c r="S42" s="1146"/>
      <c r="T42" s="1146"/>
      <c r="U42" s="1146"/>
      <c r="V42" s="1146"/>
      <c r="W42" s="1146"/>
      <c r="X42" s="1149"/>
      <c r="AA42" s="79"/>
    </row>
    <row r="43" spans="1:29">
      <c r="A43" s="233" t="s">
        <v>107</v>
      </c>
      <c r="B43" s="197"/>
      <c r="C43" s="197"/>
      <c r="D43" s="197"/>
      <c r="E43" s="197" t="s">
        <v>6</v>
      </c>
      <c r="F43" s="197" t="s">
        <v>154</v>
      </c>
      <c r="G43" s="197"/>
      <c r="H43" s="1457">
        <v>14250000</v>
      </c>
      <c r="I43" s="1457"/>
      <c r="J43" s="1457"/>
      <c r="K43" s="1457"/>
      <c r="L43" s="1457"/>
      <c r="M43" s="1457"/>
      <c r="N43" s="197"/>
      <c r="O43" s="197"/>
      <c r="P43" s="197"/>
      <c r="Q43" s="197"/>
      <c r="R43" s="1147" t="s">
        <v>585</v>
      </c>
      <c r="S43" s="1146"/>
      <c r="T43" s="1146"/>
      <c r="U43" s="1146"/>
      <c r="V43" s="1146"/>
      <c r="W43" s="1146"/>
      <c r="X43" s="1149"/>
    </row>
    <row r="44" spans="1:29">
      <c r="A44" s="233" t="s">
        <v>108</v>
      </c>
      <c r="B44" s="197"/>
      <c r="C44" s="197"/>
      <c r="D44" s="197"/>
      <c r="E44" s="197" t="s">
        <v>6</v>
      </c>
      <c r="F44" s="197" t="s">
        <v>154</v>
      </c>
      <c r="G44" s="197"/>
      <c r="H44" s="1457">
        <v>14250000</v>
      </c>
      <c r="I44" s="1457"/>
      <c r="J44" s="1457"/>
      <c r="K44" s="1457"/>
      <c r="L44" s="1457"/>
      <c r="M44" s="1457"/>
      <c r="N44" s="197"/>
      <c r="O44" s="197"/>
      <c r="P44" s="197"/>
      <c r="Q44" s="197"/>
      <c r="R44" s="35"/>
      <c r="S44" s="195"/>
      <c r="T44" s="524"/>
      <c r="U44" s="524"/>
      <c r="V44" s="524"/>
      <c r="W44" s="524"/>
      <c r="X44" s="2"/>
    </row>
    <row r="45" spans="1:29">
      <c r="A45" s="233" t="s">
        <v>109</v>
      </c>
      <c r="B45" s="197"/>
      <c r="C45" s="197"/>
      <c r="D45" s="197"/>
      <c r="E45" s="197" t="s">
        <v>6</v>
      </c>
      <c r="F45" s="197" t="s">
        <v>154</v>
      </c>
      <c r="G45" s="197"/>
      <c r="H45" s="1458">
        <v>14250000</v>
      </c>
      <c r="I45" s="1458"/>
      <c r="J45" s="1458"/>
      <c r="K45" s="1458"/>
      <c r="L45" s="1458"/>
      <c r="M45" s="1458"/>
      <c r="N45" s="197"/>
      <c r="O45" s="197"/>
      <c r="P45" s="197"/>
      <c r="Q45" s="197"/>
      <c r="R45" s="35"/>
      <c r="S45" s="195"/>
      <c r="T45" s="195"/>
      <c r="U45" s="195"/>
      <c r="V45" s="195"/>
      <c r="W45" s="195"/>
      <c r="X45" s="2"/>
      <c r="AA45" s="580"/>
    </row>
    <row r="46" spans="1:29">
      <c r="A46" s="233" t="s">
        <v>15</v>
      </c>
      <c r="B46" s="197"/>
      <c r="C46" s="197"/>
      <c r="D46" s="197"/>
      <c r="E46" s="197" t="s">
        <v>6</v>
      </c>
      <c r="F46" s="200" t="s">
        <v>154</v>
      </c>
      <c r="G46" s="200"/>
      <c r="H46" s="1457">
        <f>SUM(H41:L45)</f>
        <v>57000000</v>
      </c>
      <c r="I46" s="1457"/>
      <c r="J46" s="1457"/>
      <c r="K46" s="1457"/>
      <c r="L46" s="1457"/>
      <c r="M46" s="1457"/>
      <c r="N46" s="197"/>
      <c r="O46" s="197"/>
      <c r="P46" s="197"/>
      <c r="Q46" s="197"/>
      <c r="R46" s="1427" t="s">
        <v>849</v>
      </c>
      <c r="S46" s="1357"/>
      <c r="T46" s="1357"/>
      <c r="U46" s="1357"/>
      <c r="V46" s="1357"/>
      <c r="W46" s="1357"/>
      <c r="X46" s="1358"/>
      <c r="AA46" s="580"/>
    </row>
    <row r="47" spans="1:29">
      <c r="A47" s="233"/>
      <c r="B47" s="197"/>
      <c r="C47" s="197"/>
      <c r="D47" s="197"/>
      <c r="E47" s="197"/>
      <c r="F47" s="200"/>
      <c r="G47" s="200"/>
      <c r="H47" s="1457"/>
      <c r="I47" s="1457"/>
      <c r="J47" s="1457"/>
      <c r="K47" s="1457"/>
      <c r="L47" s="1457"/>
      <c r="M47" s="1457"/>
      <c r="N47" s="197"/>
      <c r="O47" s="197"/>
      <c r="P47" s="197"/>
      <c r="Q47" s="197"/>
      <c r="R47" s="1456" t="s">
        <v>914</v>
      </c>
      <c r="S47" s="1146"/>
      <c r="T47" s="1146"/>
      <c r="U47" s="1146"/>
      <c r="V47" s="1146"/>
      <c r="W47" s="1146"/>
      <c r="X47" s="1149"/>
      <c r="AA47" s="580"/>
    </row>
    <row r="48" spans="1:29">
      <c r="A48" s="233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456"/>
      <c r="S48" s="1146"/>
      <c r="T48" s="1146"/>
      <c r="U48" s="1146"/>
      <c r="V48" s="1146"/>
      <c r="W48" s="1146"/>
      <c r="X48" s="1149"/>
      <c r="AA48" s="580"/>
    </row>
    <row r="49" spans="1:27">
      <c r="A49" s="233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206"/>
      <c r="R49" s="1455"/>
      <c r="S49" s="1143"/>
      <c r="T49" s="1143"/>
      <c r="U49" s="1143"/>
      <c r="V49" s="1143"/>
      <c r="W49" s="1143"/>
      <c r="X49" s="1144"/>
      <c r="AA49" s="580"/>
    </row>
    <row r="50" spans="1:27">
      <c r="A50" s="1418" t="s">
        <v>1034</v>
      </c>
      <c r="B50" s="1400"/>
      <c r="C50" s="1400"/>
      <c r="D50" s="1400"/>
      <c r="E50" s="1400"/>
      <c r="F50" s="1400"/>
      <c r="G50" s="1400"/>
      <c r="H50" s="1400"/>
      <c r="I50" s="1400"/>
      <c r="J50" s="1400"/>
      <c r="K50" s="1400"/>
      <c r="L50" s="1400"/>
      <c r="M50" s="1400"/>
      <c r="N50" s="1400"/>
      <c r="O50" s="1400"/>
      <c r="P50" s="1400"/>
      <c r="Q50" s="206"/>
      <c r="R50" s="1456" t="s">
        <v>921</v>
      </c>
      <c r="S50" s="1146"/>
      <c r="T50" s="1146"/>
      <c r="U50" s="1146"/>
      <c r="V50" s="1146"/>
      <c r="W50" s="1146"/>
      <c r="X50" s="1149"/>
      <c r="AA50" s="580"/>
    </row>
    <row r="51" spans="1:27">
      <c r="A51" s="213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197"/>
      <c r="R51" s="306"/>
      <c r="S51" s="308"/>
      <c r="T51" s="308"/>
      <c r="U51" s="308"/>
      <c r="V51" s="308"/>
      <c r="W51" s="308"/>
      <c r="X51" s="307"/>
      <c r="AA51" s="580"/>
    </row>
    <row r="52" spans="1:27">
      <c r="A52" s="233">
        <v>1</v>
      </c>
      <c r="B52" t="s">
        <v>460</v>
      </c>
      <c r="C52" s="197"/>
      <c r="D52" s="197"/>
      <c r="E52" s="197"/>
      <c r="F52" s="197"/>
      <c r="G52" s="197"/>
      <c r="H52" s="197"/>
      <c r="I52" s="197"/>
      <c r="J52" s="197"/>
      <c r="K52" s="197" t="s">
        <v>193</v>
      </c>
      <c r="L52" s="197"/>
      <c r="M52" s="197"/>
      <c r="N52" s="197"/>
      <c r="O52" s="197"/>
      <c r="P52" s="197"/>
      <c r="Q52" s="197"/>
      <c r="R52" s="1147" t="s">
        <v>155</v>
      </c>
      <c r="S52" s="1146"/>
      <c r="T52" s="1146"/>
      <c r="U52" s="1146"/>
      <c r="V52" s="1146"/>
      <c r="W52" s="1146"/>
      <c r="X52" s="1149"/>
      <c r="AA52" s="580"/>
    </row>
    <row r="53" spans="1:27">
      <c r="A53" s="233"/>
      <c r="B53" t="s">
        <v>1019</v>
      </c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147" t="s">
        <v>114</v>
      </c>
      <c r="S53" s="1146"/>
      <c r="T53" s="1146"/>
      <c r="U53" s="1146"/>
      <c r="V53" s="1146"/>
      <c r="W53" s="1146"/>
      <c r="X53" s="1149"/>
    </row>
    <row r="54" spans="1:27">
      <c r="A54" s="233"/>
      <c r="B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35"/>
      <c r="S54" s="195"/>
      <c r="T54" s="195"/>
      <c r="U54" s="195"/>
      <c r="V54" s="195"/>
      <c r="W54" s="195"/>
      <c r="X54" s="2"/>
    </row>
    <row r="55" spans="1:27">
      <c r="A55" s="233">
        <v>2</v>
      </c>
      <c r="B55" s="197" t="s">
        <v>194</v>
      </c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 t="s">
        <v>195</v>
      </c>
      <c r="O55" s="197"/>
      <c r="P55" s="197"/>
      <c r="Q55" s="197"/>
      <c r="R55" s="35"/>
      <c r="S55" s="195"/>
      <c r="T55" s="195"/>
      <c r="U55" s="195"/>
      <c r="V55" s="195"/>
      <c r="W55" s="195"/>
      <c r="X55" s="2"/>
    </row>
    <row r="56" spans="1:27">
      <c r="A56" s="233"/>
      <c r="B56" t="s">
        <v>1019</v>
      </c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35"/>
      <c r="S56" s="195"/>
      <c r="T56" s="195"/>
      <c r="U56" s="195"/>
      <c r="V56" s="195"/>
      <c r="W56" s="195"/>
      <c r="X56" s="2"/>
    </row>
    <row r="57" spans="1:27">
      <c r="A57" s="233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427" t="s">
        <v>115</v>
      </c>
      <c r="S57" s="1357"/>
      <c r="T57" s="1357"/>
      <c r="U57" s="1357"/>
      <c r="V57" s="1357"/>
      <c r="W57" s="1357"/>
      <c r="X57" s="1358"/>
    </row>
    <row r="58" spans="1:27" ht="15.75" thickBot="1">
      <c r="A58" s="238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1454" t="s">
        <v>116</v>
      </c>
      <c r="S58" s="1361"/>
      <c r="T58" s="1361"/>
      <c r="U58" s="1361"/>
      <c r="V58" s="1361"/>
      <c r="W58" s="1361"/>
      <c r="X58" s="1362"/>
    </row>
  </sheetData>
  <mergeCells count="88">
    <mergeCell ref="R3:R4"/>
    <mergeCell ref="S3:S4"/>
    <mergeCell ref="T3:T4"/>
    <mergeCell ref="U18:X18"/>
    <mergeCell ref="U3:U4"/>
    <mergeCell ref="V3:V4"/>
    <mergeCell ref="A14:X14"/>
    <mergeCell ref="A15:F15"/>
    <mergeCell ref="I15:T15"/>
    <mergeCell ref="U15:X15"/>
    <mergeCell ref="U16:X16"/>
    <mergeCell ref="V17:X17"/>
    <mergeCell ref="U19:X19"/>
    <mergeCell ref="A21:X21"/>
    <mergeCell ref="A22:X22"/>
    <mergeCell ref="M25:P25"/>
    <mergeCell ref="R25:S25"/>
    <mergeCell ref="T25:U25"/>
    <mergeCell ref="V25:X25"/>
    <mergeCell ref="A23:L23"/>
    <mergeCell ref="M23:P24"/>
    <mergeCell ref="Q23:U23"/>
    <mergeCell ref="V23:X23"/>
    <mergeCell ref="A24:L24"/>
    <mergeCell ref="R24:S24"/>
    <mergeCell ref="T24:U24"/>
    <mergeCell ref="V24:X24"/>
    <mergeCell ref="A27:L27"/>
    <mergeCell ref="V27:X27"/>
    <mergeCell ref="A26:L26"/>
    <mergeCell ref="M26:P26"/>
    <mergeCell ref="A25:L25"/>
    <mergeCell ref="V26:X26"/>
    <mergeCell ref="A28:L28"/>
    <mergeCell ref="V28:X28"/>
    <mergeCell ref="A29:L29"/>
    <mergeCell ref="V29:X29"/>
    <mergeCell ref="A30:L30"/>
    <mergeCell ref="V30:X30"/>
    <mergeCell ref="R31:S31"/>
    <mergeCell ref="T31:U31"/>
    <mergeCell ref="V31:X31"/>
    <mergeCell ref="H42:M42"/>
    <mergeCell ref="R42:X42"/>
    <mergeCell ref="A33:L33"/>
    <mergeCell ref="V33:X33"/>
    <mergeCell ref="R34:S34"/>
    <mergeCell ref="T34:U34"/>
    <mergeCell ref="V34:X34"/>
    <mergeCell ref="A36:L36"/>
    <mergeCell ref="V36:X36"/>
    <mergeCell ref="R48:X48"/>
    <mergeCell ref="R37:S37"/>
    <mergeCell ref="T37:U37"/>
    <mergeCell ref="V37:X37"/>
    <mergeCell ref="V40:X40"/>
    <mergeCell ref="R41:X41"/>
    <mergeCell ref="H43:M43"/>
    <mergeCell ref="H45:M45"/>
    <mergeCell ref="H46:M46"/>
    <mergeCell ref="H47:M47"/>
    <mergeCell ref="R47:X47"/>
    <mergeCell ref="R46:X46"/>
    <mergeCell ref="H44:M44"/>
    <mergeCell ref="R43:X43"/>
    <mergeCell ref="R58:X58"/>
    <mergeCell ref="R49:X49"/>
    <mergeCell ref="A50:P50"/>
    <mergeCell ref="R50:X50"/>
    <mergeCell ref="R52:X52"/>
    <mergeCell ref="R53:X53"/>
    <mergeCell ref="R57:X57"/>
    <mergeCell ref="U1:U2"/>
    <mergeCell ref="V1:V2"/>
    <mergeCell ref="W4:X4"/>
    <mergeCell ref="A5:V5"/>
    <mergeCell ref="A6:V6"/>
    <mergeCell ref="W2:X3"/>
    <mergeCell ref="P1:P2"/>
    <mergeCell ref="Q1:Q2"/>
    <mergeCell ref="R1:R2"/>
    <mergeCell ref="S1:S2"/>
    <mergeCell ref="T1:T2"/>
    <mergeCell ref="A1:O2"/>
    <mergeCell ref="W1:X1"/>
    <mergeCell ref="A3:O4"/>
    <mergeCell ref="P3:P4"/>
    <mergeCell ref="Q3:Q4"/>
  </mergeCells>
  <pageMargins left="0.7" right="0.7" top="0.75" bottom="0.75" header="0.3" footer="0.3"/>
  <pageSetup paperSize="5" scale="80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C66"/>
  <sheetViews>
    <sheetView topLeftCell="A28" workbookViewId="0">
      <selection activeCell="V43" sqref="V43:X43"/>
    </sheetView>
  </sheetViews>
  <sheetFormatPr defaultRowHeight="15"/>
  <cols>
    <col min="1" max="1" width="2.140625" customWidth="1"/>
    <col min="2" max="2" width="1.85546875" customWidth="1"/>
    <col min="3" max="3" width="1.7109375" customWidth="1"/>
    <col min="4" max="4" width="4.42578125" customWidth="1"/>
    <col min="5" max="5" width="2.5703125" customWidth="1"/>
    <col min="6" max="7" width="2.42578125" customWidth="1"/>
    <col min="8" max="8" width="2" customWidth="1"/>
    <col min="9" max="9" width="2.42578125" customWidth="1"/>
    <col min="10" max="10" width="2.28515625" customWidth="1"/>
    <col min="11" max="11" width="2.42578125" customWidth="1"/>
    <col min="12" max="12" width="3.28515625" customWidth="1"/>
    <col min="15" max="15" width="7.140625" customWidth="1"/>
    <col min="16" max="16" width="6.85546875" customWidth="1"/>
    <col min="17" max="17" width="7.28515625" customWidth="1"/>
    <col min="18" max="18" width="4.85546875" customWidth="1"/>
    <col min="19" max="19" width="3.7109375" customWidth="1"/>
    <col min="20" max="20" width="5" customWidth="1"/>
    <col min="21" max="21" width="5.28515625" customWidth="1"/>
    <col min="22" max="22" width="2.5703125" customWidth="1"/>
    <col min="23" max="23" width="4.42578125" customWidth="1"/>
    <col min="24" max="24" width="11.42578125" customWidth="1"/>
    <col min="26" max="26" width="14.28515625" bestFit="1" customWidth="1"/>
    <col min="27" max="27" width="15.28515625" customWidth="1"/>
    <col min="29" max="29" width="14.28515625" customWidth="1"/>
  </cols>
  <sheetData>
    <row r="1" spans="1:27" ht="10.5" customHeight="1">
      <c r="A1" s="1386" t="s">
        <v>0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8"/>
      <c r="P1" s="1525" t="s">
        <v>528</v>
      </c>
      <c r="Q1" s="1526" t="s">
        <v>528</v>
      </c>
      <c r="R1" s="1527" t="s">
        <v>157</v>
      </c>
      <c r="S1" s="1527" t="s">
        <v>157</v>
      </c>
      <c r="T1" s="1527" t="s">
        <v>924</v>
      </c>
      <c r="U1" s="1526" t="s">
        <v>158</v>
      </c>
      <c r="V1" s="1528" t="s">
        <v>159</v>
      </c>
      <c r="W1" s="1161"/>
      <c r="X1" s="1453"/>
    </row>
    <row r="2" spans="1:27" ht="14.25" customHeight="1">
      <c r="A2" s="1389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1"/>
      <c r="P2" s="1521"/>
      <c r="Q2" s="1511"/>
      <c r="R2" s="1511"/>
      <c r="S2" s="1523"/>
      <c r="T2" s="1523"/>
      <c r="U2" s="1511"/>
      <c r="V2" s="1513"/>
      <c r="W2" s="1164" t="s">
        <v>1</v>
      </c>
      <c r="X2" s="1393"/>
    </row>
    <row r="3" spans="1:27" ht="15.75" customHeight="1">
      <c r="A3" s="1379" t="s">
        <v>2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1"/>
      <c r="P3" s="1521"/>
      <c r="Q3" s="1511"/>
      <c r="R3" s="1523"/>
      <c r="S3" s="1523"/>
      <c r="T3" s="1523"/>
      <c r="U3" s="1511"/>
      <c r="V3" s="1513"/>
      <c r="W3" s="1164"/>
      <c r="X3" s="1393"/>
    </row>
    <row r="4" spans="1:27" ht="12" customHeight="1">
      <c r="A4" s="1382"/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4"/>
      <c r="P4" s="1522"/>
      <c r="Q4" s="1512"/>
      <c r="R4" s="1512"/>
      <c r="S4" s="1524"/>
      <c r="T4" s="1524"/>
      <c r="U4" s="1512"/>
      <c r="V4" s="1514"/>
      <c r="W4" s="1164" t="s">
        <v>1040</v>
      </c>
      <c r="X4" s="1393"/>
    </row>
    <row r="5" spans="1:27">
      <c r="A5" s="1515" t="s">
        <v>717</v>
      </c>
      <c r="B5" s="1516"/>
      <c r="C5" s="1516"/>
      <c r="D5" s="1516"/>
      <c r="E5" s="1516"/>
      <c r="F5" s="1516"/>
      <c r="G5" s="1516"/>
      <c r="H5" s="1516"/>
      <c r="I5" s="1516"/>
      <c r="J5" s="1516"/>
      <c r="K5" s="1516"/>
      <c r="L5" s="1516"/>
      <c r="M5" s="1516"/>
      <c r="N5" s="1516"/>
      <c r="O5" s="1516"/>
      <c r="P5" s="1516"/>
      <c r="Q5" s="1516"/>
      <c r="R5" s="1516"/>
      <c r="S5" s="1516"/>
      <c r="T5" s="1516"/>
      <c r="U5" s="1516"/>
      <c r="V5" s="1517"/>
      <c r="W5" s="852"/>
      <c r="X5" s="853"/>
    </row>
    <row r="6" spans="1:27" ht="18.75" customHeight="1">
      <c r="A6" s="1518" t="s">
        <v>922</v>
      </c>
      <c r="B6" s="1519"/>
      <c r="C6" s="1519"/>
      <c r="D6" s="1519"/>
      <c r="E6" s="1519"/>
      <c r="F6" s="1519"/>
      <c r="G6" s="1519"/>
      <c r="H6" s="1519"/>
      <c r="I6" s="1519"/>
      <c r="J6" s="1519"/>
      <c r="K6" s="1519"/>
      <c r="L6" s="1519"/>
      <c r="M6" s="1519"/>
      <c r="N6" s="1519"/>
      <c r="O6" s="1519"/>
      <c r="P6" s="1519"/>
      <c r="Q6" s="1519"/>
      <c r="R6" s="1519"/>
      <c r="S6" s="1519"/>
      <c r="T6" s="1519"/>
      <c r="U6" s="1519"/>
      <c r="V6" s="1520"/>
      <c r="W6" s="850"/>
      <c r="X6" s="851"/>
    </row>
    <row r="7" spans="1:27">
      <c r="A7" s="233" t="s">
        <v>5</v>
      </c>
      <c r="B7" s="197"/>
      <c r="C7" s="197"/>
      <c r="D7" s="197"/>
      <c r="E7" s="197"/>
      <c r="F7" s="197"/>
      <c r="G7" s="197"/>
      <c r="H7" s="197"/>
      <c r="I7" s="197"/>
      <c r="J7" s="197"/>
      <c r="K7" s="197" t="s">
        <v>6</v>
      </c>
      <c r="L7" s="197" t="s">
        <v>528</v>
      </c>
      <c r="M7" s="197"/>
      <c r="N7" s="197"/>
      <c r="O7" s="197"/>
      <c r="P7" s="197"/>
      <c r="Q7" s="197" t="s">
        <v>8</v>
      </c>
      <c r="R7" s="197"/>
      <c r="S7" s="197"/>
      <c r="T7" s="197"/>
      <c r="U7" s="197"/>
      <c r="V7" s="197"/>
      <c r="W7" s="197"/>
      <c r="X7" s="234"/>
    </row>
    <row r="8" spans="1:27">
      <c r="A8" s="233" t="s">
        <v>9</v>
      </c>
      <c r="B8" s="197"/>
      <c r="C8" s="197"/>
      <c r="D8" s="197"/>
      <c r="E8" s="197"/>
      <c r="F8" s="197"/>
      <c r="G8" s="197"/>
      <c r="H8" s="197"/>
      <c r="I8" s="197"/>
      <c r="J8" s="197"/>
      <c r="K8" s="197" t="s">
        <v>6</v>
      </c>
      <c r="L8" s="199" t="s">
        <v>529</v>
      </c>
      <c r="M8" s="199"/>
      <c r="N8" s="197"/>
      <c r="O8" s="197"/>
      <c r="P8" s="197"/>
      <c r="Q8" s="197" t="s">
        <v>11</v>
      </c>
      <c r="R8" s="197"/>
      <c r="S8" s="197"/>
      <c r="T8" s="197"/>
      <c r="U8" s="197"/>
      <c r="V8" s="197"/>
      <c r="W8" s="197"/>
      <c r="X8" s="234"/>
    </row>
    <row r="9" spans="1:27">
      <c r="A9" s="233" t="s">
        <v>162</v>
      </c>
      <c r="B9" s="197"/>
      <c r="C9" s="197"/>
      <c r="D9" s="197"/>
      <c r="E9" s="197"/>
      <c r="F9" s="197"/>
      <c r="G9" s="197"/>
      <c r="H9" s="197"/>
      <c r="I9" s="197"/>
      <c r="J9" s="197"/>
      <c r="K9" s="197" t="s">
        <v>6</v>
      </c>
      <c r="L9" s="197" t="s">
        <v>557</v>
      </c>
      <c r="M9" s="197"/>
      <c r="N9" s="197"/>
      <c r="O9" s="197"/>
      <c r="P9" s="197"/>
      <c r="Q9" s="197" t="s">
        <v>163</v>
      </c>
      <c r="R9" s="197"/>
      <c r="S9" s="197"/>
      <c r="T9" s="197"/>
      <c r="U9" s="197"/>
      <c r="V9" s="197"/>
      <c r="W9" s="197"/>
      <c r="X9" s="234"/>
    </row>
    <row r="10" spans="1:27">
      <c r="A10" s="233" t="s">
        <v>58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 t="s">
        <v>6</v>
      </c>
      <c r="L10" s="197" t="s">
        <v>925</v>
      </c>
      <c r="M10" s="197"/>
      <c r="N10" s="197"/>
      <c r="O10" s="197"/>
      <c r="P10" s="197"/>
      <c r="Q10" s="197" t="s">
        <v>71</v>
      </c>
      <c r="R10" s="197"/>
      <c r="S10" s="197"/>
      <c r="T10" s="197"/>
      <c r="U10" s="197"/>
      <c r="V10" s="197"/>
      <c r="W10" s="197"/>
      <c r="X10" s="234"/>
    </row>
    <row r="11" spans="1:27">
      <c r="A11" s="233" t="s">
        <v>165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 t="s">
        <v>6</v>
      </c>
      <c r="L11" s="197" t="s">
        <v>923</v>
      </c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234"/>
    </row>
    <row r="12" spans="1:27">
      <c r="A12" s="233" t="s">
        <v>1021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 t="s">
        <v>6</v>
      </c>
      <c r="L12" s="66" t="s">
        <v>919</v>
      </c>
      <c r="M12" s="197"/>
      <c r="N12" s="197"/>
      <c r="O12" s="197"/>
      <c r="P12" s="197"/>
      <c r="Q12" s="200"/>
      <c r="R12" s="197"/>
      <c r="S12" s="197"/>
      <c r="T12" s="197"/>
      <c r="U12" s="197"/>
      <c r="V12" s="197"/>
      <c r="W12" s="197"/>
      <c r="X12" s="234"/>
    </row>
    <row r="13" spans="1:27">
      <c r="A13" s="233" t="s">
        <v>167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 t="s">
        <v>6</v>
      </c>
      <c r="L13" s="197" t="s">
        <v>68</v>
      </c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234"/>
    </row>
    <row r="14" spans="1:27">
      <c r="A14" s="1418" t="s">
        <v>168</v>
      </c>
      <c r="B14" s="1400"/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0"/>
      <c r="U14" s="1400"/>
      <c r="V14" s="1400"/>
      <c r="W14" s="1400"/>
      <c r="X14" s="1405"/>
      <c r="AA14" s="79"/>
    </row>
    <row r="15" spans="1:27">
      <c r="A15" s="1418" t="s">
        <v>169</v>
      </c>
      <c r="B15" s="1400"/>
      <c r="C15" s="1400"/>
      <c r="D15" s="1400"/>
      <c r="E15" s="1400"/>
      <c r="F15" s="1400"/>
      <c r="G15" s="535"/>
      <c r="H15" s="535"/>
      <c r="I15" s="1399" t="s">
        <v>170</v>
      </c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3"/>
      <c r="U15" s="1399" t="s">
        <v>171</v>
      </c>
      <c r="V15" s="1400"/>
      <c r="W15" s="1400"/>
      <c r="X15" s="1405"/>
    </row>
    <row r="16" spans="1:27">
      <c r="A16" s="235" t="s">
        <v>172</v>
      </c>
      <c r="B16" s="202"/>
      <c r="C16" s="202"/>
      <c r="D16" s="202"/>
      <c r="E16" s="202"/>
      <c r="F16" s="202"/>
      <c r="G16" s="202"/>
      <c r="H16" s="202"/>
      <c r="I16" s="201" t="s">
        <v>926</v>
      </c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3"/>
      <c r="U16" s="1482">
        <v>1</v>
      </c>
      <c r="V16" s="1483"/>
      <c r="W16" s="1483"/>
      <c r="X16" s="1484"/>
    </row>
    <row r="17" spans="1:27">
      <c r="A17" s="233" t="s">
        <v>174</v>
      </c>
      <c r="B17" s="197"/>
      <c r="C17" s="197"/>
      <c r="D17" s="197"/>
      <c r="E17" s="197"/>
      <c r="F17" s="197"/>
      <c r="G17" s="197"/>
      <c r="H17" s="197"/>
      <c r="I17" s="196" t="s">
        <v>175</v>
      </c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8"/>
      <c r="U17" s="204" t="s">
        <v>154</v>
      </c>
      <c r="V17" s="1457">
        <f>V26</f>
        <v>76500000</v>
      </c>
      <c r="W17" s="1457"/>
      <c r="X17" s="1462"/>
    </row>
    <row r="18" spans="1:27">
      <c r="A18" s="233" t="s">
        <v>176</v>
      </c>
      <c r="B18" s="197"/>
      <c r="C18" s="197"/>
      <c r="D18" s="197"/>
      <c r="E18" s="197"/>
      <c r="F18" s="197"/>
      <c r="G18" s="197"/>
      <c r="H18" s="197"/>
      <c r="I18" s="196" t="s">
        <v>927</v>
      </c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8"/>
      <c r="U18" s="1208" t="s">
        <v>178</v>
      </c>
      <c r="V18" s="1209"/>
      <c r="W18" s="1209"/>
      <c r="X18" s="1210"/>
    </row>
    <row r="19" spans="1:27">
      <c r="A19" s="236" t="s">
        <v>179</v>
      </c>
      <c r="B19" s="206"/>
      <c r="C19" s="206"/>
      <c r="D19" s="206"/>
      <c r="E19" s="206"/>
      <c r="F19" s="206"/>
      <c r="G19" s="206"/>
      <c r="H19" s="206"/>
      <c r="I19" s="205" t="s">
        <v>928</v>
      </c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7"/>
      <c r="U19" s="1478" t="s">
        <v>181</v>
      </c>
      <c r="V19" s="1479"/>
      <c r="W19" s="1479"/>
      <c r="X19" s="1480"/>
    </row>
    <row r="20" spans="1:27">
      <c r="A20" s="233" t="s">
        <v>182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 t="s">
        <v>6</v>
      </c>
      <c r="M20" s="197" t="s">
        <v>920</v>
      </c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234"/>
    </row>
    <row r="21" spans="1:27">
      <c r="A21" s="1321" t="s">
        <v>718</v>
      </c>
      <c r="B21" s="1322"/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3"/>
    </row>
    <row r="22" spans="1:27">
      <c r="A22" s="1164" t="s">
        <v>719</v>
      </c>
      <c r="B22" s="1165"/>
      <c r="C22" s="1165"/>
      <c r="D22" s="1165"/>
      <c r="E22" s="1165"/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  <c r="R22" s="1165"/>
      <c r="S22" s="1165"/>
      <c r="T22" s="1165"/>
      <c r="U22" s="1165"/>
      <c r="V22" s="1165"/>
      <c r="W22" s="1165"/>
      <c r="X22" s="1393"/>
    </row>
    <row r="23" spans="1:27">
      <c r="A23" s="1321" t="s">
        <v>185</v>
      </c>
      <c r="B23" s="1322"/>
      <c r="C23" s="1322"/>
      <c r="D23" s="1322"/>
      <c r="E23" s="1322"/>
      <c r="F23" s="1322"/>
      <c r="G23" s="1322"/>
      <c r="H23" s="1322"/>
      <c r="I23" s="1322"/>
      <c r="J23" s="1322"/>
      <c r="K23" s="1322"/>
      <c r="L23" s="1394"/>
      <c r="M23" s="1395" t="s">
        <v>14</v>
      </c>
      <c r="N23" s="1396"/>
      <c r="O23" s="1396"/>
      <c r="P23" s="1397"/>
      <c r="Q23" s="1401" t="s">
        <v>121</v>
      </c>
      <c r="R23" s="1322"/>
      <c r="S23" s="1322"/>
      <c r="T23" s="1322"/>
      <c r="U23" s="1322"/>
      <c r="V23" s="1401" t="s">
        <v>15</v>
      </c>
      <c r="W23" s="1322"/>
      <c r="X23" s="1323"/>
    </row>
    <row r="24" spans="1:27">
      <c r="A24" s="1164" t="s">
        <v>16</v>
      </c>
      <c r="B24" s="1165"/>
      <c r="C24" s="1165"/>
      <c r="D24" s="1165"/>
      <c r="E24" s="1165"/>
      <c r="F24" s="1165"/>
      <c r="G24" s="1165"/>
      <c r="H24" s="1165"/>
      <c r="I24" s="1165"/>
      <c r="J24" s="1165"/>
      <c r="K24" s="1165"/>
      <c r="L24" s="1166"/>
      <c r="M24" s="1398"/>
      <c r="N24" s="1173"/>
      <c r="O24" s="1173"/>
      <c r="P24" s="1174"/>
      <c r="Q24" s="90" t="s">
        <v>122</v>
      </c>
      <c r="R24" s="1399" t="s">
        <v>123</v>
      </c>
      <c r="S24" s="1403"/>
      <c r="T24" s="1399" t="s">
        <v>124</v>
      </c>
      <c r="U24" s="1403"/>
      <c r="V24" s="1436" t="s">
        <v>17</v>
      </c>
      <c r="W24" s="1165"/>
      <c r="X24" s="1393"/>
    </row>
    <row r="25" spans="1:27">
      <c r="A25" s="1472">
        <v>1</v>
      </c>
      <c r="B25" s="1473"/>
      <c r="C25" s="1473"/>
      <c r="D25" s="1473"/>
      <c r="E25" s="1473"/>
      <c r="F25" s="1473"/>
      <c r="G25" s="1473"/>
      <c r="H25" s="1473"/>
      <c r="I25" s="1473"/>
      <c r="J25" s="1473"/>
      <c r="K25" s="1473"/>
      <c r="L25" s="1474"/>
      <c r="M25" s="1472">
        <v>2</v>
      </c>
      <c r="N25" s="1473"/>
      <c r="O25" s="1473"/>
      <c r="P25" s="1474"/>
      <c r="Q25" s="208">
        <v>3</v>
      </c>
      <c r="R25" s="1472">
        <v>4</v>
      </c>
      <c r="S25" s="1474"/>
      <c r="T25" s="1472">
        <v>5</v>
      </c>
      <c r="U25" s="1474"/>
      <c r="V25" s="1472" t="s">
        <v>1022</v>
      </c>
      <c r="W25" s="1473"/>
      <c r="X25" s="1481"/>
    </row>
    <row r="26" spans="1:27">
      <c r="A26" s="1467" t="s">
        <v>929</v>
      </c>
      <c r="B26" s="1355"/>
      <c r="C26" s="1355"/>
      <c r="D26" s="1355"/>
      <c r="E26" s="1355"/>
      <c r="F26" s="1355"/>
      <c r="G26" s="1355"/>
      <c r="H26" s="1355"/>
      <c r="I26" s="1355"/>
      <c r="J26" s="1355"/>
      <c r="K26" s="1355"/>
      <c r="L26" s="1356"/>
      <c r="M26" s="1420" t="s">
        <v>551</v>
      </c>
      <c r="N26" s="1420"/>
      <c r="O26" s="1420"/>
      <c r="P26" s="1421"/>
      <c r="Q26" s="538"/>
      <c r="R26" s="538"/>
      <c r="S26" s="539"/>
      <c r="T26" s="542"/>
      <c r="U26" s="542"/>
      <c r="V26" s="1508">
        <f>V31+V41</f>
        <v>76500000</v>
      </c>
      <c r="W26" s="1509"/>
      <c r="X26" s="1510"/>
    </row>
    <row r="27" spans="1:27">
      <c r="A27" s="1467" t="s">
        <v>930</v>
      </c>
      <c r="B27" s="1355"/>
      <c r="C27" s="1355"/>
      <c r="D27" s="1355"/>
      <c r="E27" s="1355"/>
      <c r="F27" s="1355"/>
      <c r="G27" s="1355"/>
      <c r="H27" s="1355"/>
      <c r="I27" s="1355"/>
      <c r="J27" s="1355"/>
      <c r="K27" s="1355"/>
      <c r="L27" s="1356"/>
      <c r="M27" s="585" t="s">
        <v>23</v>
      </c>
      <c r="N27" s="585"/>
      <c r="O27" s="585"/>
      <c r="P27" s="586"/>
      <c r="Q27" s="83"/>
      <c r="R27" s="83"/>
      <c r="S27" s="85"/>
      <c r="T27" s="84"/>
      <c r="U27" s="84"/>
      <c r="V27" s="1505">
        <f>V28+V41</f>
        <v>76500000</v>
      </c>
      <c r="W27" s="1506"/>
      <c r="X27" s="1507"/>
    </row>
    <row r="28" spans="1:27">
      <c r="A28" s="1467" t="s">
        <v>932</v>
      </c>
      <c r="B28" s="1355"/>
      <c r="C28" s="1355"/>
      <c r="D28" s="1355"/>
      <c r="E28" s="1355"/>
      <c r="F28" s="1355"/>
      <c r="G28" s="1355"/>
      <c r="H28" s="1355"/>
      <c r="I28" s="1355"/>
      <c r="J28" s="1355"/>
      <c r="K28" s="1355"/>
      <c r="L28" s="1356"/>
      <c r="M28" s="585" t="s">
        <v>22</v>
      </c>
      <c r="N28" s="585"/>
      <c r="O28" s="585"/>
      <c r="P28" s="586"/>
      <c r="Q28" s="83"/>
      <c r="R28" s="83"/>
      <c r="S28" s="85"/>
      <c r="T28" s="84"/>
      <c r="U28" s="84"/>
      <c r="V28" s="1505">
        <f>V29</f>
        <v>76000000</v>
      </c>
      <c r="W28" s="1506"/>
      <c r="X28" s="1507"/>
    </row>
    <row r="29" spans="1:27">
      <c r="A29" s="1467" t="s">
        <v>933</v>
      </c>
      <c r="B29" s="1355"/>
      <c r="C29" s="1355"/>
      <c r="D29" s="1355"/>
      <c r="E29" s="1355"/>
      <c r="F29" s="1355"/>
      <c r="G29" s="1355"/>
      <c r="H29" s="1355"/>
      <c r="I29" s="1355"/>
      <c r="J29" s="1355"/>
      <c r="K29" s="1355"/>
      <c r="L29" s="1356"/>
      <c r="M29" s="585" t="s">
        <v>935</v>
      </c>
      <c r="N29" s="585"/>
      <c r="O29" s="585"/>
      <c r="P29" s="586"/>
      <c r="Q29" s="83"/>
      <c r="R29" s="83"/>
      <c r="S29" s="85"/>
      <c r="T29" s="84"/>
      <c r="U29" s="84"/>
      <c r="V29" s="1502">
        <f>V31</f>
        <v>76000000</v>
      </c>
      <c r="W29" s="1503"/>
      <c r="X29" s="1504"/>
    </row>
    <row r="30" spans="1:27">
      <c r="A30" s="1354" t="s">
        <v>934</v>
      </c>
      <c r="B30" s="1355"/>
      <c r="C30" s="1355"/>
      <c r="D30" s="1355"/>
      <c r="E30" s="1355"/>
      <c r="F30" s="1355"/>
      <c r="G30" s="1355"/>
      <c r="H30" s="1355"/>
      <c r="I30" s="1355"/>
      <c r="J30" s="1355"/>
      <c r="K30" s="1355"/>
      <c r="L30" s="1356"/>
      <c r="M30" s="196" t="s">
        <v>936</v>
      </c>
      <c r="N30" s="197"/>
      <c r="O30" s="197"/>
      <c r="P30" s="198"/>
      <c r="Q30" s="196"/>
      <c r="R30" s="196"/>
      <c r="S30" s="198"/>
      <c r="T30" s="197"/>
      <c r="U30" s="197"/>
      <c r="V30" s="1461"/>
      <c r="W30" s="1457"/>
      <c r="X30" s="1462"/>
    </row>
    <row r="31" spans="1:27">
      <c r="A31" s="233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8"/>
      <c r="M31" s="196" t="s">
        <v>937</v>
      </c>
      <c r="N31" s="197"/>
      <c r="O31" s="197"/>
      <c r="P31" s="198"/>
      <c r="Q31" s="538"/>
      <c r="R31" s="1208"/>
      <c r="S31" s="1459"/>
      <c r="T31" s="1318"/>
      <c r="U31" s="1460"/>
      <c r="V31" s="1461">
        <f>SUM(V32:X40)</f>
        <v>76000000</v>
      </c>
      <c r="W31" s="1457"/>
      <c r="X31" s="1462"/>
      <c r="AA31" s="580"/>
    </row>
    <row r="32" spans="1:27">
      <c r="A32" s="233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8"/>
      <c r="M32" s="209" t="s">
        <v>938</v>
      </c>
      <c r="N32" s="197"/>
      <c r="O32" s="197"/>
      <c r="P32" s="198"/>
      <c r="Q32" s="538">
        <v>10</v>
      </c>
      <c r="R32" s="1208" t="s">
        <v>947</v>
      </c>
      <c r="S32" s="1459"/>
      <c r="T32" s="1486">
        <v>2000000</v>
      </c>
      <c r="U32" s="1487"/>
      <c r="V32" s="1485">
        <f>Q32*T32</f>
        <v>20000000</v>
      </c>
      <c r="W32" s="1209"/>
      <c r="X32" s="1210"/>
      <c r="AA32" s="580"/>
    </row>
    <row r="33" spans="1:29">
      <c r="A33" s="1467"/>
      <c r="B33" s="1355"/>
      <c r="C33" s="1355"/>
      <c r="D33" s="1355"/>
      <c r="E33" s="1355"/>
      <c r="F33" s="1355"/>
      <c r="G33" s="1355"/>
      <c r="H33" s="1355"/>
      <c r="I33" s="1355"/>
      <c r="J33" s="1355"/>
      <c r="K33" s="1355"/>
      <c r="L33" s="1356"/>
      <c r="M33" s="209" t="s">
        <v>939</v>
      </c>
      <c r="N33" s="197"/>
      <c r="O33" s="197"/>
      <c r="P33" s="198"/>
      <c r="Q33" s="538">
        <v>10</v>
      </c>
      <c r="R33" s="1208" t="s">
        <v>947</v>
      </c>
      <c r="S33" s="1459"/>
      <c r="T33" s="1486">
        <v>1400000</v>
      </c>
      <c r="U33" s="1487"/>
      <c r="V33" s="1485">
        <f t="shared" ref="V33:V40" si="0">Q33*T33</f>
        <v>14000000</v>
      </c>
      <c r="W33" s="1209"/>
      <c r="X33" s="1210"/>
      <c r="AA33" s="580"/>
    </row>
    <row r="34" spans="1:29">
      <c r="A34" s="233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8"/>
      <c r="M34" s="209" t="s">
        <v>940</v>
      </c>
      <c r="N34" s="197"/>
      <c r="O34" s="197"/>
      <c r="P34" s="198"/>
      <c r="Q34" s="538">
        <v>10</v>
      </c>
      <c r="R34" s="1208" t="s">
        <v>947</v>
      </c>
      <c r="S34" s="1459"/>
      <c r="T34" s="1486">
        <v>1000000</v>
      </c>
      <c r="U34" s="1487"/>
      <c r="V34" s="1485">
        <f t="shared" si="0"/>
        <v>10000000</v>
      </c>
      <c r="W34" s="1209"/>
      <c r="X34" s="1210"/>
      <c r="AA34" s="580"/>
    </row>
    <row r="35" spans="1:29">
      <c r="A35" s="233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8"/>
      <c r="M35" s="209" t="s">
        <v>941</v>
      </c>
      <c r="N35" s="197"/>
      <c r="O35" s="197"/>
      <c r="P35" s="198"/>
      <c r="Q35" s="538">
        <v>10</v>
      </c>
      <c r="R35" s="1208" t="s">
        <v>947</v>
      </c>
      <c r="S35" s="1459"/>
      <c r="T35" s="1486">
        <v>450000</v>
      </c>
      <c r="U35" s="1487"/>
      <c r="V35" s="1485">
        <f t="shared" si="0"/>
        <v>4500000</v>
      </c>
      <c r="W35" s="1209"/>
      <c r="X35" s="1210"/>
      <c r="AA35" s="580"/>
    </row>
    <row r="36" spans="1:29">
      <c r="A36" s="1467"/>
      <c r="B36" s="1355"/>
      <c r="C36" s="1355"/>
      <c r="D36" s="1355"/>
      <c r="E36" s="1355"/>
      <c r="F36" s="1355"/>
      <c r="G36" s="1355"/>
      <c r="H36" s="1355"/>
      <c r="I36" s="1355"/>
      <c r="J36" s="1355"/>
      <c r="K36" s="1355"/>
      <c r="L36" s="1356"/>
      <c r="M36" s="209" t="s">
        <v>942</v>
      </c>
      <c r="N36" s="197"/>
      <c r="O36" s="197"/>
      <c r="P36" s="198"/>
      <c r="Q36" s="538">
        <v>30</v>
      </c>
      <c r="R36" s="1208" t="s">
        <v>947</v>
      </c>
      <c r="S36" s="1459"/>
      <c r="T36" s="1486">
        <v>350000</v>
      </c>
      <c r="U36" s="1487"/>
      <c r="V36" s="1485">
        <f t="shared" si="0"/>
        <v>10500000</v>
      </c>
      <c r="W36" s="1209"/>
      <c r="X36" s="1210"/>
      <c r="AA36" s="580"/>
    </row>
    <row r="37" spans="1:29">
      <c r="A37" s="233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8"/>
      <c r="M37" s="209" t="s">
        <v>943</v>
      </c>
      <c r="N37" s="197"/>
      <c r="O37" s="197"/>
      <c r="P37" s="198"/>
      <c r="Q37" s="538">
        <v>10</v>
      </c>
      <c r="R37" s="1208" t="s">
        <v>947</v>
      </c>
      <c r="S37" s="1459"/>
      <c r="T37" s="1486">
        <v>450000</v>
      </c>
      <c r="U37" s="1487"/>
      <c r="V37" s="1485">
        <f t="shared" si="0"/>
        <v>4500000</v>
      </c>
      <c r="W37" s="1209"/>
      <c r="X37" s="1210"/>
      <c r="AA37" s="580"/>
      <c r="AC37" s="79"/>
    </row>
    <row r="38" spans="1:29" ht="25.5" customHeight="1">
      <c r="A38" s="233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8"/>
      <c r="M38" s="1493" t="s">
        <v>944</v>
      </c>
      <c r="N38" s="1494"/>
      <c r="O38" s="1494"/>
      <c r="P38" s="1495"/>
      <c r="Q38" s="538">
        <v>10</v>
      </c>
      <c r="R38" s="1208" t="s">
        <v>947</v>
      </c>
      <c r="S38" s="1459"/>
      <c r="T38" s="1486">
        <v>450000</v>
      </c>
      <c r="U38" s="1487"/>
      <c r="V38" s="1485">
        <f t="shared" si="0"/>
        <v>4500000</v>
      </c>
      <c r="W38" s="1209"/>
      <c r="X38" s="1210"/>
      <c r="AA38" s="580"/>
      <c r="AC38" s="79"/>
    </row>
    <row r="39" spans="1:29">
      <c r="A39" s="233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8"/>
      <c r="M39" s="209" t="s">
        <v>945</v>
      </c>
      <c r="N39" s="197"/>
      <c r="O39" s="197"/>
      <c r="P39" s="198"/>
      <c r="Q39" s="538">
        <v>10</v>
      </c>
      <c r="R39" s="1208" t="s">
        <v>947</v>
      </c>
      <c r="S39" s="1459"/>
      <c r="T39" s="1486">
        <v>450000</v>
      </c>
      <c r="U39" s="1487"/>
      <c r="V39" s="1485">
        <f t="shared" si="0"/>
        <v>4500000</v>
      </c>
      <c r="W39" s="1209"/>
      <c r="X39" s="1210"/>
      <c r="AA39" s="580"/>
      <c r="AC39" s="79"/>
    </row>
    <row r="40" spans="1:29">
      <c r="A40" s="233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8"/>
      <c r="M40" s="209" t="s">
        <v>946</v>
      </c>
      <c r="N40" s="197"/>
      <c r="O40" s="197"/>
      <c r="P40" s="198"/>
      <c r="Q40" s="538">
        <v>10</v>
      </c>
      <c r="R40" s="1208" t="s">
        <v>947</v>
      </c>
      <c r="S40" s="1459"/>
      <c r="T40" s="1486">
        <v>350000</v>
      </c>
      <c r="U40" s="1487"/>
      <c r="V40" s="1485">
        <f t="shared" si="0"/>
        <v>3500000</v>
      </c>
      <c r="W40" s="1209"/>
      <c r="X40" s="1210"/>
      <c r="AA40" s="580"/>
      <c r="AC40" s="79"/>
    </row>
    <row r="41" spans="1:29">
      <c r="A41" s="1354" t="s">
        <v>931</v>
      </c>
      <c r="B41" s="1355"/>
      <c r="C41" s="1355"/>
      <c r="D41" s="1355"/>
      <c r="E41" s="1355"/>
      <c r="F41" s="1355"/>
      <c r="G41" s="1355"/>
      <c r="H41" s="1355"/>
      <c r="I41" s="1355"/>
      <c r="J41" s="1355"/>
      <c r="K41" s="1355"/>
      <c r="L41" s="1356"/>
      <c r="M41" s="585" t="s">
        <v>950</v>
      </c>
      <c r="N41" s="328"/>
      <c r="O41" s="197"/>
      <c r="P41" s="198"/>
      <c r="Q41" s="538"/>
      <c r="R41" s="538"/>
      <c r="S41" s="539"/>
      <c r="T41" s="1486"/>
      <c r="U41" s="1487"/>
      <c r="V41" s="1490">
        <f>V43</f>
        <v>500000</v>
      </c>
      <c r="W41" s="1491"/>
      <c r="X41" s="1492"/>
      <c r="AA41" s="580"/>
      <c r="AC41" s="79"/>
    </row>
    <row r="42" spans="1:29">
      <c r="A42" s="1354" t="s">
        <v>948</v>
      </c>
      <c r="B42" s="1355"/>
      <c r="C42" s="1355"/>
      <c r="D42" s="1355"/>
      <c r="E42" s="1355"/>
      <c r="F42" s="1355"/>
      <c r="G42" s="1355"/>
      <c r="H42" s="1355"/>
      <c r="I42" s="1355"/>
      <c r="J42" s="1355"/>
      <c r="K42" s="1355"/>
      <c r="L42" s="1356"/>
      <c r="M42" s="196" t="s">
        <v>320</v>
      </c>
      <c r="N42" s="197"/>
      <c r="O42" s="197"/>
      <c r="P42" s="198"/>
      <c r="Q42" s="538"/>
      <c r="R42" s="538"/>
      <c r="S42" s="539"/>
      <c r="T42" s="583"/>
      <c r="U42" s="583"/>
      <c r="V42" s="1485">
        <f>V43</f>
        <v>500000</v>
      </c>
      <c r="W42" s="1488"/>
      <c r="X42" s="1489"/>
      <c r="Z42" s="580"/>
      <c r="AA42" s="580"/>
      <c r="AC42" s="79"/>
    </row>
    <row r="43" spans="1:29">
      <c r="A43" s="1354" t="s">
        <v>949</v>
      </c>
      <c r="B43" s="1355"/>
      <c r="C43" s="1355"/>
      <c r="D43" s="1355"/>
      <c r="E43" s="1355"/>
      <c r="F43" s="1355"/>
      <c r="G43" s="1355"/>
      <c r="H43" s="1355"/>
      <c r="I43" s="1355"/>
      <c r="J43" s="1355"/>
      <c r="K43" s="1355"/>
      <c r="L43" s="1356"/>
      <c r="M43" s="196" t="s">
        <v>951</v>
      </c>
      <c r="N43" s="197"/>
      <c r="O43" s="197"/>
      <c r="P43" s="198"/>
      <c r="Q43" s="538"/>
      <c r="R43" s="538"/>
      <c r="S43" s="539"/>
      <c r="T43" s="583"/>
      <c r="U43" s="583"/>
      <c r="V43" s="1490">
        <f>V45</f>
        <v>500000</v>
      </c>
      <c r="W43" s="1491"/>
      <c r="X43" s="1492"/>
      <c r="AA43" s="580"/>
      <c r="AC43" s="79"/>
    </row>
    <row r="44" spans="1:29">
      <c r="A44" s="532"/>
      <c r="B44" s="533"/>
      <c r="C44" s="533"/>
      <c r="D44" s="533"/>
      <c r="E44" s="533"/>
      <c r="F44" s="533"/>
      <c r="G44" s="533"/>
      <c r="H44" s="533"/>
      <c r="I44" s="533"/>
      <c r="J44" s="533"/>
      <c r="K44" s="533"/>
      <c r="L44" s="534"/>
      <c r="M44" s="196" t="s">
        <v>337</v>
      </c>
      <c r="N44" s="197"/>
      <c r="O44" s="197"/>
      <c r="P44" s="198"/>
      <c r="Q44" s="35"/>
      <c r="R44" s="35"/>
      <c r="S44" s="36"/>
      <c r="T44" s="583"/>
      <c r="U44" s="583"/>
      <c r="V44" s="584"/>
      <c r="W44" s="542"/>
      <c r="X44" s="543"/>
      <c r="Z44" s="79"/>
      <c r="AA44" s="580"/>
      <c r="AC44" s="79"/>
    </row>
    <row r="45" spans="1:29">
      <c r="A45" s="532"/>
      <c r="B45" s="533"/>
      <c r="C45" s="533"/>
      <c r="D45" s="533"/>
      <c r="E45" s="533"/>
      <c r="F45" s="533"/>
      <c r="G45" s="533"/>
      <c r="H45" s="533"/>
      <c r="I45" s="533"/>
      <c r="J45" s="533"/>
      <c r="K45" s="533"/>
      <c r="L45" s="534"/>
      <c r="M45" s="1499" t="s">
        <v>1023</v>
      </c>
      <c r="N45" s="1500"/>
      <c r="O45" s="1500"/>
      <c r="P45" s="1501"/>
      <c r="Q45" s="525">
        <v>25</v>
      </c>
      <c r="R45" s="1147" t="s">
        <v>972</v>
      </c>
      <c r="S45" s="1148"/>
      <c r="T45" s="1486">
        <v>20000</v>
      </c>
      <c r="U45" s="1487"/>
      <c r="V45" s="1485">
        <f>Q45*T45</f>
        <v>500000</v>
      </c>
      <c r="W45" s="1488"/>
      <c r="X45" s="1489"/>
      <c r="AA45" s="580"/>
      <c r="AC45" s="79"/>
    </row>
    <row r="46" spans="1:29">
      <c r="A46" s="233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8"/>
      <c r="M46" s="209"/>
      <c r="N46" s="197"/>
      <c r="O46" s="197"/>
      <c r="P46" s="198"/>
      <c r="Q46" s="538"/>
      <c r="R46" s="538"/>
      <c r="S46" s="539"/>
      <c r="T46" s="583"/>
      <c r="U46" s="583"/>
      <c r="V46" s="584"/>
      <c r="W46" s="542"/>
      <c r="X46" s="543"/>
      <c r="Z46" s="79">
        <f>V48/4</f>
        <v>19125000</v>
      </c>
      <c r="AA46" s="580"/>
      <c r="AC46" s="79"/>
    </row>
    <row r="47" spans="1:29">
      <c r="A47" s="233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8"/>
      <c r="M47" s="209"/>
      <c r="N47" s="197"/>
      <c r="O47" s="197"/>
      <c r="P47" s="198"/>
      <c r="Q47" s="538"/>
      <c r="R47" s="538"/>
      <c r="S47" s="539"/>
      <c r="T47" s="529"/>
      <c r="U47" s="582"/>
      <c r="V47" s="540"/>
      <c r="W47" s="537"/>
      <c r="X47" s="541"/>
      <c r="AA47" s="580"/>
      <c r="AC47" s="79"/>
    </row>
    <row r="48" spans="1:29" ht="15.75" thickBot="1">
      <c r="A48" s="235" t="s">
        <v>110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1496">
        <f>V29+V41</f>
        <v>76500000</v>
      </c>
      <c r="W48" s="1497"/>
      <c r="X48" s="1498"/>
      <c r="AA48" s="79"/>
    </row>
    <row r="49" spans="1:27" ht="17.25" customHeight="1" thickBot="1">
      <c r="A49" s="939" t="s">
        <v>105</v>
      </c>
      <c r="B49" s="862"/>
      <c r="C49" s="862"/>
      <c r="D49" s="862"/>
      <c r="E49" s="862"/>
      <c r="F49" s="862"/>
      <c r="G49" s="862"/>
      <c r="H49" s="862"/>
      <c r="I49" s="862"/>
      <c r="J49" s="862"/>
      <c r="K49" s="862"/>
      <c r="L49" s="862"/>
      <c r="M49" s="862"/>
      <c r="N49" s="862"/>
      <c r="O49" s="862"/>
      <c r="P49" s="862"/>
      <c r="Q49" s="862"/>
      <c r="R49" s="1432"/>
      <c r="S49" s="1432"/>
      <c r="T49" s="1432"/>
      <c r="U49" s="1432"/>
      <c r="V49" s="1432"/>
      <c r="W49" s="1432"/>
      <c r="X49" s="1433"/>
      <c r="AA49" s="581"/>
    </row>
    <row r="50" spans="1:27">
      <c r="A50" s="233" t="s">
        <v>106</v>
      </c>
      <c r="B50" s="197"/>
      <c r="C50" s="197"/>
      <c r="D50" s="197"/>
      <c r="E50" s="197" t="s">
        <v>6</v>
      </c>
      <c r="F50" s="197" t="s">
        <v>154</v>
      </c>
      <c r="G50" s="197"/>
      <c r="H50" s="1457">
        <v>19125000</v>
      </c>
      <c r="I50" s="1457"/>
      <c r="J50" s="1457"/>
      <c r="K50" s="1457"/>
      <c r="L50" s="1457"/>
      <c r="M50" s="1457"/>
      <c r="N50" s="197"/>
      <c r="O50" s="197"/>
      <c r="P50" s="197"/>
      <c r="Q50" s="197"/>
      <c r="R50" s="1146" t="s">
        <v>584</v>
      </c>
      <c r="S50" s="1146"/>
      <c r="T50" s="1146"/>
      <c r="U50" s="1146"/>
      <c r="V50" s="1146"/>
      <c r="W50" s="1146"/>
      <c r="X50" s="1149"/>
      <c r="AA50" s="79"/>
    </row>
    <row r="51" spans="1:27">
      <c r="A51" s="233" t="s">
        <v>107</v>
      </c>
      <c r="B51" s="197"/>
      <c r="C51" s="197"/>
      <c r="D51" s="197"/>
      <c r="E51" s="197" t="s">
        <v>6</v>
      </c>
      <c r="F51" s="197" t="s">
        <v>154</v>
      </c>
      <c r="G51" s="197"/>
      <c r="H51" s="1457">
        <v>19125000</v>
      </c>
      <c r="I51" s="1457"/>
      <c r="J51" s="1457"/>
      <c r="K51" s="1457"/>
      <c r="L51" s="1457"/>
      <c r="M51" s="1457"/>
      <c r="N51" s="197"/>
      <c r="O51" s="197"/>
      <c r="P51" s="197"/>
      <c r="Q51" s="197"/>
      <c r="R51" s="1146" t="s">
        <v>585</v>
      </c>
      <c r="S51" s="1146"/>
      <c r="T51" s="1146"/>
      <c r="U51" s="1146"/>
      <c r="V51" s="1146"/>
      <c r="W51" s="1146"/>
      <c r="X51" s="1149"/>
    </row>
    <row r="52" spans="1:27">
      <c r="A52" s="233" t="s">
        <v>108</v>
      </c>
      <c r="B52" s="197"/>
      <c r="C52" s="197"/>
      <c r="D52" s="197"/>
      <c r="E52" s="197" t="s">
        <v>6</v>
      </c>
      <c r="F52" s="197" t="s">
        <v>154</v>
      </c>
      <c r="G52" s="197"/>
      <c r="H52" s="1457">
        <v>19125000</v>
      </c>
      <c r="I52" s="1457"/>
      <c r="J52" s="1457"/>
      <c r="K52" s="1457"/>
      <c r="L52" s="1457"/>
      <c r="M52" s="1457"/>
      <c r="N52" s="197"/>
      <c r="O52" s="197"/>
      <c r="P52" s="197"/>
      <c r="Q52" s="197"/>
      <c r="R52" s="195"/>
      <c r="S52" s="195"/>
      <c r="T52" s="816"/>
      <c r="U52" s="816"/>
      <c r="V52" s="816"/>
      <c r="W52" s="816"/>
      <c r="X52" s="2"/>
    </row>
    <row r="53" spans="1:27">
      <c r="A53" s="233" t="s">
        <v>109</v>
      </c>
      <c r="B53" s="197"/>
      <c r="C53" s="197"/>
      <c r="D53" s="197"/>
      <c r="E53" s="197" t="s">
        <v>6</v>
      </c>
      <c r="F53" s="197" t="s">
        <v>154</v>
      </c>
      <c r="G53" s="197"/>
      <c r="H53" s="1458">
        <v>19125000</v>
      </c>
      <c r="I53" s="1458"/>
      <c r="J53" s="1458"/>
      <c r="K53" s="1458"/>
      <c r="L53" s="1458"/>
      <c r="M53" s="1458"/>
      <c r="N53" s="197"/>
      <c r="O53" s="197"/>
      <c r="P53" s="197"/>
      <c r="Q53" s="197"/>
      <c r="R53" s="195"/>
      <c r="S53" s="195"/>
      <c r="T53" s="195"/>
      <c r="U53" s="195"/>
      <c r="V53" s="195"/>
      <c r="W53" s="195"/>
      <c r="X53" s="2"/>
      <c r="AA53" s="580"/>
    </row>
    <row r="54" spans="1:27">
      <c r="A54" s="233" t="s">
        <v>15</v>
      </c>
      <c r="B54" s="197"/>
      <c r="C54" s="197"/>
      <c r="D54" s="197"/>
      <c r="E54" s="197" t="s">
        <v>6</v>
      </c>
      <c r="F54" s="200" t="s">
        <v>154</v>
      </c>
      <c r="G54" s="200"/>
      <c r="H54" s="1457">
        <f>SUM(H49:L53)</f>
        <v>76500000</v>
      </c>
      <c r="I54" s="1457"/>
      <c r="J54" s="1457"/>
      <c r="K54" s="1457"/>
      <c r="L54" s="1457"/>
      <c r="M54" s="1457"/>
      <c r="N54" s="197"/>
      <c r="O54" s="197"/>
      <c r="P54" s="197"/>
      <c r="Q54" s="197"/>
      <c r="R54" s="1357"/>
      <c r="S54" s="1357"/>
      <c r="T54" s="1357"/>
      <c r="U54" s="1357"/>
      <c r="V54" s="1357"/>
      <c r="W54" s="1357"/>
      <c r="X54" s="1358"/>
      <c r="AA54" s="580"/>
    </row>
    <row r="55" spans="1:27">
      <c r="A55" s="233"/>
      <c r="B55" s="197"/>
      <c r="C55" s="197"/>
      <c r="D55" s="197"/>
      <c r="E55" s="197"/>
      <c r="F55" s="200"/>
      <c r="G55" s="200"/>
      <c r="H55" s="1457"/>
      <c r="I55" s="1457"/>
      <c r="J55" s="1457"/>
      <c r="K55" s="1457"/>
      <c r="L55" s="1457"/>
      <c r="M55" s="1457"/>
      <c r="N55" s="197"/>
      <c r="O55" s="197"/>
      <c r="P55" s="197"/>
      <c r="Q55" s="197"/>
      <c r="R55" s="1357" t="s">
        <v>849</v>
      </c>
      <c r="S55" s="1357"/>
      <c r="T55" s="1357"/>
      <c r="U55" s="1357"/>
      <c r="V55" s="1357"/>
      <c r="W55" s="1357"/>
      <c r="X55" s="1358"/>
      <c r="AA55" s="580"/>
    </row>
    <row r="56" spans="1:27">
      <c r="A56" s="233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359" t="s">
        <v>914</v>
      </c>
      <c r="S56" s="1359"/>
      <c r="T56" s="1359"/>
      <c r="U56" s="1359"/>
      <c r="V56" s="1359"/>
      <c r="W56" s="1359"/>
      <c r="X56" s="1360"/>
      <c r="AA56" s="580"/>
    </row>
    <row r="57" spans="1:27">
      <c r="A57" s="233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206"/>
      <c r="R57" s="1428"/>
      <c r="S57" s="1143"/>
      <c r="T57" s="1143"/>
      <c r="U57" s="1143"/>
      <c r="V57" s="1143"/>
      <c r="W57" s="1143"/>
      <c r="X57" s="1144"/>
      <c r="AA57" s="580"/>
    </row>
    <row r="58" spans="1:27">
      <c r="A58" s="1418" t="s">
        <v>1018</v>
      </c>
      <c r="B58" s="1400"/>
      <c r="C58" s="1400"/>
      <c r="D58" s="1400"/>
      <c r="E58" s="1400"/>
      <c r="F58" s="1400"/>
      <c r="G58" s="1400"/>
      <c r="H58" s="1400"/>
      <c r="I58" s="1400"/>
      <c r="J58" s="1400"/>
      <c r="K58" s="1400"/>
      <c r="L58" s="1400"/>
      <c r="M58" s="1400"/>
      <c r="N58" s="1400"/>
      <c r="O58" s="1400"/>
      <c r="P58" s="1400"/>
      <c r="Q58" s="206"/>
      <c r="R58" s="1456" t="s">
        <v>921</v>
      </c>
      <c r="S58" s="1146"/>
      <c r="T58" s="1146"/>
      <c r="U58" s="1146"/>
      <c r="V58" s="1146"/>
      <c r="W58" s="1146"/>
      <c r="X58" s="1149"/>
      <c r="AA58" s="580"/>
    </row>
    <row r="59" spans="1:27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197"/>
      <c r="R59" s="525"/>
      <c r="S59" s="524"/>
      <c r="T59" s="524"/>
      <c r="U59" s="524"/>
      <c r="V59" s="524"/>
      <c r="W59" s="524"/>
      <c r="X59" s="526"/>
      <c r="AA59" s="580"/>
    </row>
    <row r="60" spans="1:27">
      <c r="A60" s="233">
        <v>1</v>
      </c>
      <c r="B60" t="s">
        <v>460</v>
      </c>
      <c r="C60" s="197"/>
      <c r="D60" s="197"/>
      <c r="E60" s="197"/>
      <c r="F60" s="197"/>
      <c r="G60" s="197"/>
      <c r="H60" s="197"/>
      <c r="I60" s="197"/>
      <c r="J60" s="197"/>
      <c r="K60" s="197" t="s">
        <v>193</v>
      </c>
      <c r="L60" s="197"/>
      <c r="M60" s="197"/>
      <c r="N60" s="197"/>
      <c r="O60" s="197"/>
      <c r="P60" s="197"/>
      <c r="Q60" s="197"/>
      <c r="R60" s="1147" t="s">
        <v>155</v>
      </c>
      <c r="S60" s="1146"/>
      <c r="T60" s="1146"/>
      <c r="U60" s="1146"/>
      <c r="V60" s="1146"/>
      <c r="W60" s="1146"/>
      <c r="X60" s="1149"/>
      <c r="AA60" s="580"/>
    </row>
    <row r="61" spans="1:27">
      <c r="A61" s="233"/>
      <c r="B61" s="640" t="s">
        <v>1019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147" t="s">
        <v>114</v>
      </c>
      <c r="S61" s="1146"/>
      <c r="T61" s="1146"/>
      <c r="U61" s="1146"/>
      <c r="V61" s="1146"/>
      <c r="W61" s="1146"/>
      <c r="X61" s="1149"/>
    </row>
    <row r="62" spans="1:27">
      <c r="A62" s="233"/>
      <c r="B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35"/>
      <c r="S62" s="195"/>
      <c r="T62" s="195"/>
      <c r="U62" s="195"/>
      <c r="V62" s="195"/>
      <c r="W62" s="195"/>
      <c r="X62" s="2"/>
    </row>
    <row r="63" spans="1:27">
      <c r="A63" s="233">
        <v>2</v>
      </c>
      <c r="B63" s="197" t="s">
        <v>194</v>
      </c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 t="s">
        <v>195</v>
      </c>
      <c r="O63" s="197"/>
      <c r="P63" s="197"/>
      <c r="Q63" s="197"/>
      <c r="R63" s="35"/>
      <c r="S63" s="195"/>
      <c r="T63" s="195"/>
      <c r="U63" s="195"/>
      <c r="V63" s="195"/>
      <c r="W63" s="195"/>
      <c r="X63" s="2"/>
    </row>
    <row r="64" spans="1:27">
      <c r="A64" s="233"/>
      <c r="B64" s="197" t="s">
        <v>1019</v>
      </c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35"/>
      <c r="S64" s="195"/>
      <c r="T64" s="195"/>
      <c r="U64" s="195"/>
      <c r="V64" s="195"/>
      <c r="W64" s="195"/>
      <c r="X64" s="2"/>
    </row>
    <row r="65" spans="1:24">
      <c r="A65" s="233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427" t="s">
        <v>115</v>
      </c>
      <c r="S65" s="1357"/>
      <c r="T65" s="1357"/>
      <c r="U65" s="1357"/>
      <c r="V65" s="1357"/>
      <c r="W65" s="1357"/>
      <c r="X65" s="1358"/>
    </row>
    <row r="66" spans="1:24" ht="15.75" thickBot="1">
      <c r="A66" s="238"/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1454" t="s">
        <v>116</v>
      </c>
      <c r="S66" s="1361"/>
      <c r="T66" s="1361"/>
      <c r="U66" s="1361"/>
      <c r="V66" s="1361"/>
      <c r="W66" s="1361"/>
      <c r="X66" s="1362"/>
    </row>
  </sheetData>
  <mergeCells count="120">
    <mergeCell ref="A1:O2"/>
    <mergeCell ref="W1:X1"/>
    <mergeCell ref="W2:X2"/>
    <mergeCell ref="A3:O4"/>
    <mergeCell ref="P3:P4"/>
    <mergeCell ref="Q3:Q4"/>
    <mergeCell ref="R3:R4"/>
    <mergeCell ref="S3:S4"/>
    <mergeCell ref="T3:T4"/>
    <mergeCell ref="P1:P2"/>
    <mergeCell ref="Q1:Q2"/>
    <mergeCell ref="R1:R2"/>
    <mergeCell ref="S1:S2"/>
    <mergeCell ref="T1:T2"/>
    <mergeCell ref="U1:U2"/>
    <mergeCell ref="V1:V2"/>
    <mergeCell ref="A15:F15"/>
    <mergeCell ref="I15:T15"/>
    <mergeCell ref="U15:X15"/>
    <mergeCell ref="U16:X16"/>
    <mergeCell ref="V17:X17"/>
    <mergeCell ref="U18:X18"/>
    <mergeCell ref="U3:U4"/>
    <mergeCell ref="V3:V4"/>
    <mergeCell ref="W3:X3"/>
    <mergeCell ref="A14:X14"/>
    <mergeCell ref="W4:X4"/>
    <mergeCell ref="A5:V5"/>
    <mergeCell ref="A6:V6"/>
    <mergeCell ref="U19:X19"/>
    <mergeCell ref="A21:X21"/>
    <mergeCell ref="A22:X22"/>
    <mergeCell ref="A23:L23"/>
    <mergeCell ref="M23:P24"/>
    <mergeCell ref="Q23:U23"/>
    <mergeCell ref="V23:X23"/>
    <mergeCell ref="A24:L24"/>
    <mergeCell ref="R24:S24"/>
    <mergeCell ref="T24:U24"/>
    <mergeCell ref="A26:L26"/>
    <mergeCell ref="M26:P26"/>
    <mergeCell ref="A27:L27"/>
    <mergeCell ref="V27:X27"/>
    <mergeCell ref="A28:L28"/>
    <mergeCell ref="V28:X28"/>
    <mergeCell ref="V26:X26"/>
    <mergeCell ref="V24:X24"/>
    <mergeCell ref="A25:L25"/>
    <mergeCell ref="M25:P25"/>
    <mergeCell ref="R25:S25"/>
    <mergeCell ref="T25:U25"/>
    <mergeCell ref="V25:X25"/>
    <mergeCell ref="A43:L43"/>
    <mergeCell ref="A33:L33"/>
    <mergeCell ref="V33:X33"/>
    <mergeCell ref="R34:S34"/>
    <mergeCell ref="T34:U34"/>
    <mergeCell ref="V34:X34"/>
    <mergeCell ref="A36:L36"/>
    <mergeCell ref="V36:X36"/>
    <mergeCell ref="A41:L41"/>
    <mergeCell ref="V41:X41"/>
    <mergeCell ref="V42:X42"/>
    <mergeCell ref="A29:L29"/>
    <mergeCell ref="V29:X29"/>
    <mergeCell ref="A30:L30"/>
    <mergeCell ref="V30:X30"/>
    <mergeCell ref="R31:S31"/>
    <mergeCell ref="T31:U31"/>
    <mergeCell ref="V31:X31"/>
    <mergeCell ref="A42:L42"/>
    <mergeCell ref="R32:S32"/>
    <mergeCell ref="R33:S33"/>
    <mergeCell ref="R35:S35"/>
    <mergeCell ref="R36:S36"/>
    <mergeCell ref="R38:S38"/>
    <mergeCell ref="R39:S39"/>
    <mergeCell ref="R37:S37"/>
    <mergeCell ref="T37:U37"/>
    <mergeCell ref="R61:X61"/>
    <mergeCell ref="R65:X65"/>
    <mergeCell ref="R66:X66"/>
    <mergeCell ref="M38:P38"/>
    <mergeCell ref="R40:S40"/>
    <mergeCell ref="T40:U40"/>
    <mergeCell ref="R45:S45"/>
    <mergeCell ref="H55:M55"/>
    <mergeCell ref="R55:X55"/>
    <mergeCell ref="R56:X56"/>
    <mergeCell ref="R57:X57"/>
    <mergeCell ref="A58:P58"/>
    <mergeCell ref="R58:X58"/>
    <mergeCell ref="H51:M51"/>
    <mergeCell ref="H52:M52"/>
    <mergeCell ref="H53:M53"/>
    <mergeCell ref="H54:M54"/>
    <mergeCell ref="R54:X54"/>
    <mergeCell ref="V48:X48"/>
    <mergeCell ref="R49:X49"/>
    <mergeCell ref="H50:M50"/>
    <mergeCell ref="R50:X50"/>
    <mergeCell ref="M45:P45"/>
    <mergeCell ref="T45:U45"/>
    <mergeCell ref="R60:X60"/>
    <mergeCell ref="V32:X32"/>
    <mergeCell ref="V35:X35"/>
    <mergeCell ref="V38:X38"/>
    <mergeCell ref="V39:X39"/>
    <mergeCell ref="V40:X40"/>
    <mergeCell ref="V37:X37"/>
    <mergeCell ref="T32:U32"/>
    <mergeCell ref="T33:U33"/>
    <mergeCell ref="T35:U35"/>
    <mergeCell ref="T36:U36"/>
    <mergeCell ref="T38:U38"/>
    <mergeCell ref="T39:U39"/>
    <mergeCell ref="R51:X51"/>
    <mergeCell ref="T41:U41"/>
    <mergeCell ref="V45:X45"/>
    <mergeCell ref="V43:X43"/>
  </mergeCells>
  <pageMargins left="0.7" right="0.7" top="0.75" bottom="0.75" header="0.3" footer="0.3"/>
  <pageSetup paperSize="5" scale="80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112"/>
  <sheetViews>
    <sheetView topLeftCell="A88" workbookViewId="0">
      <selection activeCell="Z8" sqref="Z8"/>
    </sheetView>
  </sheetViews>
  <sheetFormatPr defaultRowHeight="15"/>
  <cols>
    <col min="1" max="1" width="3.7109375" customWidth="1"/>
    <col min="2" max="2" width="3.140625" customWidth="1"/>
    <col min="3" max="3" width="2.140625" customWidth="1"/>
    <col min="4" max="4" width="2" customWidth="1"/>
    <col min="5" max="5" width="1.7109375" customWidth="1"/>
    <col min="6" max="7" width="2.42578125" customWidth="1"/>
    <col min="8" max="8" width="2.140625" customWidth="1"/>
    <col min="9" max="9" width="2.5703125" customWidth="1"/>
    <col min="10" max="10" width="2.42578125" customWidth="1"/>
    <col min="11" max="11" width="2" customWidth="1"/>
    <col min="12" max="12" width="3.28515625" customWidth="1"/>
    <col min="15" max="15" width="7.85546875" customWidth="1"/>
    <col min="16" max="16" width="4.85546875" customWidth="1"/>
    <col min="17" max="17" width="6.42578125" customWidth="1"/>
    <col min="18" max="18" width="4.7109375" customWidth="1"/>
    <col min="19" max="19" width="5.42578125" customWidth="1"/>
    <col min="20" max="20" width="5.7109375" customWidth="1"/>
    <col min="21" max="21" width="3.85546875" customWidth="1"/>
    <col min="22" max="22" width="5.140625" customWidth="1"/>
    <col min="23" max="23" width="6.28515625" customWidth="1"/>
    <col min="24" max="24" width="10.5703125" customWidth="1"/>
    <col min="26" max="26" width="16" customWidth="1"/>
  </cols>
  <sheetData>
    <row r="1" spans="1:24">
      <c r="A1" s="1386" t="s">
        <v>0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8"/>
      <c r="P1" s="1281" t="s">
        <v>559</v>
      </c>
      <c r="Q1" s="1282" t="s">
        <v>528</v>
      </c>
      <c r="R1" s="1445" t="s">
        <v>157</v>
      </c>
      <c r="S1" s="1445" t="s">
        <v>157</v>
      </c>
      <c r="T1" s="1445" t="s">
        <v>212</v>
      </c>
      <c r="U1" s="1282" t="s">
        <v>158</v>
      </c>
      <c r="V1" s="1282" t="s">
        <v>159</v>
      </c>
      <c r="W1" s="1161"/>
      <c r="X1" s="1453"/>
    </row>
    <row r="2" spans="1:24">
      <c r="A2" s="1389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1"/>
      <c r="P2" s="1375"/>
      <c r="Q2" s="1376"/>
      <c r="R2" s="1376"/>
      <c r="S2" s="1377"/>
      <c r="T2" s="1377"/>
      <c r="U2" s="1376"/>
      <c r="V2" s="1376"/>
      <c r="W2" s="1164" t="s">
        <v>1</v>
      </c>
      <c r="X2" s="1393"/>
    </row>
    <row r="3" spans="1:24">
      <c r="A3" s="1379" t="s">
        <v>2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1"/>
      <c r="P3" s="1375"/>
      <c r="Q3" s="1376"/>
      <c r="R3" s="1377"/>
      <c r="S3" s="1377"/>
      <c r="T3" s="1377"/>
      <c r="U3" s="1376"/>
      <c r="V3" s="1376"/>
      <c r="W3" s="1164"/>
      <c r="X3" s="1393"/>
    </row>
    <row r="4" spans="1:24">
      <c r="A4" s="1382"/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4"/>
      <c r="P4" s="1284"/>
      <c r="Q4" s="1285"/>
      <c r="R4" s="1285"/>
      <c r="S4" s="1378"/>
      <c r="T4" s="1378"/>
      <c r="U4" s="1285"/>
      <c r="V4" s="1285"/>
      <c r="W4" s="1164" t="s">
        <v>1043</v>
      </c>
      <c r="X4" s="1393"/>
    </row>
    <row r="5" spans="1:24">
      <c r="A5" s="1515" t="s">
        <v>717</v>
      </c>
      <c r="B5" s="1516"/>
      <c r="C5" s="1516"/>
      <c r="D5" s="1516"/>
      <c r="E5" s="1516"/>
      <c r="F5" s="1516"/>
      <c r="G5" s="1516"/>
      <c r="H5" s="1516"/>
      <c r="I5" s="1516"/>
      <c r="J5" s="1516"/>
      <c r="K5" s="1516"/>
      <c r="L5" s="1516"/>
      <c r="M5" s="1516"/>
      <c r="N5" s="1516"/>
      <c r="O5" s="1516"/>
      <c r="P5" s="1516"/>
      <c r="Q5" s="1516"/>
      <c r="R5" s="1516"/>
      <c r="S5" s="1516"/>
      <c r="T5" s="1516"/>
      <c r="U5" s="1516"/>
      <c r="V5" s="1517"/>
      <c r="W5" s="852"/>
      <c r="X5" s="853"/>
    </row>
    <row r="6" spans="1:24">
      <c r="A6" s="1518" t="s">
        <v>922</v>
      </c>
      <c r="B6" s="1519"/>
      <c r="C6" s="1519"/>
      <c r="D6" s="1519"/>
      <c r="E6" s="1519"/>
      <c r="F6" s="1519"/>
      <c r="G6" s="1519"/>
      <c r="H6" s="1519"/>
      <c r="I6" s="1519"/>
      <c r="J6" s="1519"/>
      <c r="K6" s="1519"/>
      <c r="L6" s="1519"/>
      <c r="M6" s="1519"/>
      <c r="N6" s="1519"/>
      <c r="O6" s="1519"/>
      <c r="P6" s="1519"/>
      <c r="Q6" s="1519"/>
      <c r="R6" s="1519"/>
      <c r="S6" s="1519"/>
      <c r="T6" s="1519"/>
      <c r="U6" s="1519"/>
      <c r="V6" s="1520"/>
      <c r="W6" s="850"/>
      <c r="X6" s="851"/>
    </row>
    <row r="7" spans="1:24">
      <c r="A7" s="5" t="s">
        <v>5</v>
      </c>
      <c r="B7" s="195"/>
      <c r="C7" s="195"/>
      <c r="D7" s="195"/>
      <c r="E7" s="195"/>
      <c r="F7" s="195"/>
      <c r="G7" s="195"/>
      <c r="H7" s="195"/>
      <c r="I7" s="195"/>
      <c r="J7" s="195"/>
      <c r="K7" s="195" t="s">
        <v>6</v>
      </c>
      <c r="L7" s="197" t="s">
        <v>528</v>
      </c>
      <c r="M7" s="197"/>
      <c r="N7" s="195"/>
      <c r="O7" s="195"/>
      <c r="P7" s="195"/>
      <c r="Q7" s="195" t="s">
        <v>8</v>
      </c>
      <c r="R7" s="195"/>
      <c r="S7" s="195"/>
      <c r="T7" s="195"/>
      <c r="U7" s="195"/>
      <c r="V7" s="195"/>
      <c r="W7" s="195"/>
      <c r="X7" s="2"/>
    </row>
    <row r="8" spans="1:24">
      <c r="A8" s="5" t="s">
        <v>9</v>
      </c>
      <c r="B8" s="195"/>
      <c r="C8" s="195"/>
      <c r="D8" s="195"/>
      <c r="E8" s="195"/>
      <c r="F8" s="195"/>
      <c r="G8" s="195"/>
      <c r="H8" s="195"/>
      <c r="I8" s="195"/>
      <c r="J8" s="195"/>
      <c r="K8" s="195" t="s">
        <v>6</v>
      </c>
      <c r="L8" s="199" t="s">
        <v>529</v>
      </c>
      <c r="M8" s="199"/>
      <c r="N8" s="195"/>
      <c r="O8" s="195"/>
      <c r="P8" s="195"/>
      <c r="Q8" s="195" t="s">
        <v>11</v>
      </c>
      <c r="R8" s="195"/>
      <c r="S8" s="195"/>
      <c r="T8" s="195"/>
      <c r="U8" s="195"/>
      <c r="V8" s="195"/>
      <c r="W8" s="195"/>
      <c r="X8" s="2"/>
    </row>
    <row r="9" spans="1:24">
      <c r="A9" s="5" t="s">
        <v>162</v>
      </c>
      <c r="B9" s="195"/>
      <c r="C9" s="195"/>
      <c r="D9" s="195"/>
      <c r="E9" s="195"/>
      <c r="F9" s="195"/>
      <c r="G9" s="195"/>
      <c r="H9" s="195"/>
      <c r="I9" s="195"/>
      <c r="J9" s="195"/>
      <c r="K9" s="195" t="s">
        <v>6</v>
      </c>
      <c r="L9" s="197" t="s">
        <v>557</v>
      </c>
      <c r="M9" s="197"/>
      <c r="N9" s="195"/>
      <c r="O9" s="195"/>
      <c r="P9" s="195"/>
      <c r="Q9" s="195" t="s">
        <v>163</v>
      </c>
      <c r="R9" s="195"/>
      <c r="S9" s="195"/>
      <c r="T9" s="195"/>
      <c r="U9" s="195"/>
      <c r="V9" s="195"/>
      <c r="W9" s="195"/>
      <c r="X9" s="2"/>
    </row>
    <row r="10" spans="1:24">
      <c r="A10" s="5" t="s">
        <v>58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 t="s">
        <v>6</v>
      </c>
      <c r="L10" s="197" t="s">
        <v>562</v>
      </c>
      <c r="M10" s="197"/>
      <c r="N10" s="195"/>
      <c r="O10" s="195"/>
      <c r="P10" s="195"/>
      <c r="Q10" s="195" t="s">
        <v>73</v>
      </c>
      <c r="R10" s="195"/>
      <c r="S10" s="195"/>
      <c r="T10" s="195"/>
      <c r="U10" s="195"/>
      <c r="V10" s="195"/>
      <c r="W10" s="195"/>
      <c r="X10" s="2"/>
    </row>
    <row r="11" spans="1:24">
      <c r="A11" s="5" t="s">
        <v>164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 t="s">
        <v>6</v>
      </c>
      <c r="L11" s="66" t="s">
        <v>919</v>
      </c>
      <c r="M11" s="195"/>
      <c r="N11" s="195"/>
      <c r="O11" s="195"/>
      <c r="P11" s="195"/>
      <c r="Q11" s="45"/>
      <c r="R11" s="195"/>
      <c r="S11" s="195"/>
      <c r="T11" s="195"/>
      <c r="U11" s="195"/>
      <c r="V11" s="195"/>
      <c r="W11" s="195"/>
      <c r="X11" s="2"/>
    </row>
    <row r="12" spans="1:24">
      <c r="A12" s="5" t="s">
        <v>165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 t="s">
        <v>6</v>
      </c>
      <c r="L12" s="195" t="s">
        <v>67</v>
      </c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2"/>
    </row>
    <row r="13" spans="1:24">
      <c r="A13" s="5" t="s">
        <v>167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 t="s">
        <v>6</v>
      </c>
      <c r="L13" s="195" t="s">
        <v>68</v>
      </c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2"/>
    </row>
    <row r="14" spans="1:24">
      <c r="A14" s="1418" t="s">
        <v>168</v>
      </c>
      <c r="B14" s="1400"/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0"/>
      <c r="U14" s="1400"/>
      <c r="V14" s="1400"/>
      <c r="W14" s="1400"/>
      <c r="X14" s="1405"/>
    </row>
    <row r="15" spans="1:24">
      <c r="A15" s="1418" t="s">
        <v>169</v>
      </c>
      <c r="B15" s="1400"/>
      <c r="C15" s="1400"/>
      <c r="D15" s="1400"/>
      <c r="E15" s="1400"/>
      <c r="F15" s="1400"/>
      <c r="G15" s="286"/>
      <c r="H15" s="286"/>
      <c r="I15" s="1399" t="s">
        <v>170</v>
      </c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3"/>
      <c r="U15" s="1551" t="s">
        <v>171</v>
      </c>
      <c r="V15" s="1552"/>
      <c r="W15" s="1552"/>
      <c r="X15" s="1553"/>
    </row>
    <row r="16" spans="1:24">
      <c r="A16" s="80" t="s">
        <v>172</v>
      </c>
      <c r="B16" s="53"/>
      <c r="C16" s="53"/>
      <c r="D16" s="53"/>
      <c r="E16" s="53"/>
      <c r="F16" s="53"/>
      <c r="G16" s="53"/>
      <c r="H16" s="53"/>
      <c r="I16" s="58" t="s">
        <v>213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9"/>
      <c r="U16" s="1554">
        <v>1</v>
      </c>
      <c r="V16" s="1555"/>
      <c r="W16" s="1555"/>
      <c r="X16" s="1556"/>
    </row>
    <row r="17" spans="1:26">
      <c r="A17" s="5" t="s">
        <v>174</v>
      </c>
      <c r="B17" s="195"/>
      <c r="C17" s="195"/>
      <c r="D17" s="195"/>
      <c r="E17" s="195"/>
      <c r="F17" s="195"/>
      <c r="G17" s="195"/>
      <c r="H17" s="195"/>
      <c r="I17" s="35" t="s">
        <v>175</v>
      </c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36"/>
      <c r="U17" s="87" t="s">
        <v>154</v>
      </c>
      <c r="V17" s="1557">
        <f>V30</f>
        <v>18299000</v>
      </c>
      <c r="W17" s="1557"/>
      <c r="X17" s="1558"/>
    </row>
    <row r="18" spans="1:26">
      <c r="A18" s="5" t="s">
        <v>176</v>
      </c>
      <c r="B18" s="195"/>
      <c r="C18" s="195"/>
      <c r="D18" s="195"/>
      <c r="E18" s="195"/>
      <c r="F18" s="195"/>
      <c r="G18" s="195"/>
      <c r="H18" s="195"/>
      <c r="I18" s="35" t="s">
        <v>214</v>
      </c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36"/>
      <c r="U18" s="1147" t="s">
        <v>178</v>
      </c>
      <c r="V18" s="1146"/>
      <c r="W18" s="1146"/>
      <c r="X18" s="1149"/>
    </row>
    <row r="19" spans="1:26">
      <c r="A19" s="68" t="s">
        <v>179</v>
      </c>
      <c r="B19" s="3"/>
      <c r="C19" s="3"/>
      <c r="D19" s="3"/>
      <c r="E19" s="3"/>
      <c r="F19" s="3"/>
      <c r="G19" s="3"/>
      <c r="H19" s="3"/>
      <c r="I19" s="33" t="s">
        <v>215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4"/>
      <c r="U19" s="1336" t="s">
        <v>181</v>
      </c>
      <c r="V19" s="1143"/>
      <c r="W19" s="1143"/>
      <c r="X19" s="1144"/>
    </row>
    <row r="20" spans="1:26">
      <c r="A20" s="5" t="s">
        <v>182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 t="s">
        <v>6</v>
      </c>
      <c r="M20" s="195" t="s">
        <v>67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2"/>
    </row>
    <row r="21" spans="1:26">
      <c r="A21" s="1321" t="s">
        <v>718</v>
      </c>
      <c r="B21" s="1322"/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3"/>
    </row>
    <row r="22" spans="1:26">
      <c r="A22" s="1164" t="s">
        <v>719</v>
      </c>
      <c r="B22" s="1165"/>
      <c r="C22" s="1165"/>
      <c r="D22" s="1165"/>
      <c r="E22" s="1165"/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  <c r="R22" s="1165"/>
      <c r="S22" s="1165"/>
      <c r="T22" s="1165"/>
      <c r="U22" s="1165"/>
      <c r="V22" s="1165"/>
      <c r="W22" s="1165"/>
      <c r="X22" s="1393"/>
    </row>
    <row r="23" spans="1:26">
      <c r="A23" s="1321" t="s">
        <v>13</v>
      </c>
      <c r="B23" s="1322"/>
      <c r="C23" s="1322"/>
      <c r="D23" s="1322"/>
      <c r="E23" s="1322"/>
      <c r="F23" s="1322"/>
      <c r="G23" s="1322"/>
      <c r="H23" s="1322"/>
      <c r="I23" s="1322"/>
      <c r="J23" s="1322"/>
      <c r="K23" s="1322"/>
      <c r="L23" s="1394"/>
      <c r="M23" s="1401" t="s">
        <v>14</v>
      </c>
      <c r="N23" s="1322"/>
      <c r="O23" s="1322"/>
      <c r="P23" s="1394"/>
      <c r="Q23" s="1401" t="s">
        <v>121</v>
      </c>
      <c r="R23" s="1322"/>
      <c r="S23" s="1322"/>
      <c r="T23" s="1322"/>
      <c r="U23" s="1322"/>
      <c r="V23" s="1401" t="s">
        <v>15</v>
      </c>
      <c r="W23" s="1322"/>
      <c r="X23" s="1323"/>
    </row>
    <row r="24" spans="1:26">
      <c r="A24" s="1164" t="s">
        <v>16</v>
      </c>
      <c r="B24" s="1165"/>
      <c r="C24" s="1165"/>
      <c r="D24" s="1165"/>
      <c r="E24" s="1165"/>
      <c r="F24" s="1165"/>
      <c r="G24" s="1165"/>
      <c r="H24" s="1165"/>
      <c r="I24" s="1165"/>
      <c r="J24" s="1165"/>
      <c r="K24" s="1165"/>
      <c r="L24" s="1166"/>
      <c r="M24" s="1404"/>
      <c r="N24" s="1325"/>
      <c r="O24" s="1325"/>
      <c r="P24" s="1402"/>
      <c r="Q24" s="90" t="s">
        <v>122</v>
      </c>
      <c r="R24" s="1399" t="s">
        <v>123</v>
      </c>
      <c r="S24" s="1403"/>
      <c r="T24" s="1399" t="s">
        <v>124</v>
      </c>
      <c r="U24" s="1403"/>
      <c r="V24" s="1436" t="s">
        <v>17</v>
      </c>
      <c r="W24" s="1165"/>
      <c r="X24" s="1393"/>
    </row>
    <row r="25" spans="1:26">
      <c r="A25" s="1153">
        <v>1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2"/>
      <c r="M25" s="1153">
        <v>2</v>
      </c>
      <c r="N25" s="1151"/>
      <c r="O25" s="1151"/>
      <c r="P25" s="1152"/>
      <c r="Q25" s="40">
        <v>3</v>
      </c>
      <c r="R25" s="1153">
        <v>4</v>
      </c>
      <c r="S25" s="1152"/>
      <c r="T25" s="1153">
        <v>5</v>
      </c>
      <c r="U25" s="1152"/>
      <c r="V25" s="1153" t="s">
        <v>1041</v>
      </c>
      <c r="W25" s="1151"/>
      <c r="X25" s="1154"/>
    </row>
    <row r="26" spans="1:26">
      <c r="A26" s="1548" t="s">
        <v>725</v>
      </c>
      <c r="B26" s="1549"/>
      <c r="C26" s="1549"/>
      <c r="D26" s="1549"/>
      <c r="E26" s="1549"/>
      <c r="F26" s="1549"/>
      <c r="G26" s="1549"/>
      <c r="H26" s="1549"/>
      <c r="I26" s="1549"/>
      <c r="J26" s="1549"/>
      <c r="K26" s="1549"/>
      <c r="L26" s="1550"/>
      <c r="M26" s="1420" t="s">
        <v>551</v>
      </c>
      <c r="N26" s="1420"/>
      <c r="O26" s="1420"/>
      <c r="P26" s="1421"/>
      <c r="Q26" s="352"/>
      <c r="R26" s="352"/>
      <c r="S26" s="355"/>
      <c r="T26" s="354"/>
      <c r="U26" s="354"/>
      <c r="V26" s="352"/>
      <c r="W26" s="354"/>
      <c r="X26" s="353"/>
    </row>
    <row r="27" spans="1:26">
      <c r="A27" s="1467" t="s">
        <v>724</v>
      </c>
      <c r="B27" s="1355"/>
      <c r="C27" s="1355"/>
      <c r="D27" s="1355"/>
      <c r="E27" s="1355"/>
      <c r="F27" s="1355"/>
      <c r="G27" s="1355"/>
      <c r="H27" s="1355"/>
      <c r="I27" s="1355"/>
      <c r="J27" s="1355"/>
      <c r="K27" s="1355"/>
      <c r="L27" s="1356"/>
      <c r="M27" s="84" t="s">
        <v>23</v>
      </c>
      <c r="N27" s="84"/>
      <c r="O27" s="84"/>
      <c r="P27" s="85"/>
      <c r="Q27" s="83"/>
      <c r="R27" s="83"/>
      <c r="S27" s="85"/>
      <c r="T27" s="91"/>
      <c r="U27" s="91"/>
      <c r="V27" s="1468">
        <f>V28</f>
        <v>18299000</v>
      </c>
      <c r="W27" s="1424"/>
      <c r="X27" s="1425"/>
      <c r="Z27" s="332">
        <f>18299000-V29</f>
        <v>0</v>
      </c>
    </row>
    <row r="28" spans="1:26">
      <c r="A28" s="1467" t="s">
        <v>728</v>
      </c>
      <c r="B28" s="1355"/>
      <c r="C28" s="1355"/>
      <c r="D28" s="1355"/>
      <c r="E28" s="1355"/>
      <c r="F28" s="1355"/>
      <c r="G28" s="1355"/>
      <c r="H28" s="1355"/>
      <c r="I28" s="1355"/>
      <c r="J28" s="1355"/>
      <c r="K28" s="1355"/>
      <c r="L28" s="1356"/>
      <c r="M28" s="84" t="s">
        <v>216</v>
      </c>
      <c r="N28" s="84"/>
      <c r="O28" s="84"/>
      <c r="P28" s="85"/>
      <c r="Q28" s="83"/>
      <c r="R28" s="83"/>
      <c r="S28" s="85"/>
      <c r="T28" s="91"/>
      <c r="U28" s="91"/>
      <c r="V28" s="1468">
        <f>V29</f>
        <v>18299000</v>
      </c>
      <c r="W28" s="1424"/>
      <c r="X28" s="1425"/>
    </row>
    <row r="29" spans="1:26">
      <c r="A29" s="1467" t="s">
        <v>726</v>
      </c>
      <c r="B29" s="1355"/>
      <c r="C29" s="1355"/>
      <c r="D29" s="1355"/>
      <c r="E29" s="1355"/>
      <c r="F29" s="1355"/>
      <c r="G29" s="1355"/>
      <c r="H29" s="1355"/>
      <c r="I29" s="1355"/>
      <c r="J29" s="1355"/>
      <c r="K29" s="1355"/>
      <c r="L29" s="1356"/>
      <c r="M29" s="84" t="s">
        <v>186</v>
      </c>
      <c r="N29" s="84"/>
      <c r="O29" s="84"/>
      <c r="P29" s="85"/>
      <c r="Q29" s="83"/>
      <c r="R29" s="83"/>
      <c r="S29" s="85"/>
      <c r="T29" s="91"/>
      <c r="U29" s="91"/>
      <c r="V29" s="1468">
        <f>V30</f>
        <v>18299000</v>
      </c>
      <c r="W29" s="1424"/>
      <c r="X29" s="1425"/>
    </row>
    <row r="30" spans="1:26">
      <c r="A30" s="1354" t="s">
        <v>727</v>
      </c>
      <c r="B30" s="1355"/>
      <c r="C30" s="1355"/>
      <c r="D30" s="1355"/>
      <c r="E30" s="1355"/>
      <c r="F30" s="1355"/>
      <c r="G30" s="1355"/>
      <c r="H30" s="1355"/>
      <c r="I30" s="1355"/>
      <c r="J30" s="1355"/>
      <c r="K30" s="1355"/>
      <c r="L30" s="1356"/>
      <c r="M30" s="35" t="s">
        <v>217</v>
      </c>
      <c r="N30" s="195"/>
      <c r="O30" s="195"/>
      <c r="P30" s="36"/>
      <c r="Q30" s="35"/>
      <c r="R30" s="35"/>
      <c r="S30" s="36"/>
      <c r="T30" s="60"/>
      <c r="U30" s="60"/>
      <c r="V30" s="1529">
        <f>SUM(V31:X89)</f>
        <v>18299000</v>
      </c>
      <c r="W30" s="1530"/>
      <c r="X30" s="1531"/>
    </row>
    <row r="31" spans="1:26">
      <c r="A31" s="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36"/>
      <c r="M31" s="63" t="s">
        <v>218</v>
      </c>
      <c r="N31" s="195"/>
      <c r="O31" s="195"/>
      <c r="P31" s="36"/>
      <c r="Q31" s="35">
        <v>145</v>
      </c>
      <c r="R31" s="1147" t="s">
        <v>219</v>
      </c>
      <c r="S31" s="1148"/>
      <c r="T31" s="1349">
        <v>55000</v>
      </c>
      <c r="U31" s="1350"/>
      <c r="V31" s="1529">
        <f t="shared" ref="V31:V81" si="0">T31*Q31</f>
        <v>7975000</v>
      </c>
      <c r="W31" s="1530"/>
      <c r="X31" s="1531"/>
    </row>
    <row r="32" spans="1:26">
      <c r="A32" s="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36"/>
      <c r="M32" s="63" t="s">
        <v>955</v>
      </c>
      <c r="N32" s="195"/>
      <c r="O32" s="195"/>
      <c r="P32" s="36"/>
      <c r="Q32" s="35">
        <v>6</v>
      </c>
      <c r="R32" s="1147" t="s">
        <v>957</v>
      </c>
      <c r="S32" s="1148"/>
      <c r="T32" s="1349">
        <v>250000</v>
      </c>
      <c r="U32" s="1350"/>
      <c r="V32" s="1529">
        <f>T32*Q32</f>
        <v>1500000</v>
      </c>
      <c r="W32" s="1530"/>
      <c r="X32" s="1531"/>
    </row>
    <row r="33" spans="1:26">
      <c r="A33" s="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36"/>
      <c r="M33" s="63" t="s">
        <v>956</v>
      </c>
      <c r="N33" s="195"/>
      <c r="O33" s="195"/>
      <c r="P33" s="36"/>
      <c r="Q33" s="35">
        <v>6</v>
      </c>
      <c r="R33" s="1147" t="s">
        <v>957</v>
      </c>
      <c r="S33" s="1148"/>
      <c r="T33" s="1349">
        <v>250000</v>
      </c>
      <c r="U33" s="1350"/>
      <c r="V33" s="1529">
        <f>T33*Q33</f>
        <v>1500000</v>
      </c>
      <c r="W33" s="1530"/>
      <c r="X33" s="1531"/>
      <c r="Z33" s="79"/>
    </row>
    <row r="34" spans="1:26">
      <c r="A34" s="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36"/>
      <c r="M34" s="63" t="s">
        <v>292</v>
      </c>
      <c r="N34" s="195"/>
      <c r="O34" s="195"/>
      <c r="P34" s="36"/>
      <c r="Q34" s="35">
        <v>20</v>
      </c>
      <c r="R34" s="1147" t="s">
        <v>221</v>
      </c>
      <c r="S34" s="1148"/>
      <c r="T34" s="1349">
        <v>4000</v>
      </c>
      <c r="U34" s="1350"/>
      <c r="V34" s="1529">
        <f t="shared" si="0"/>
        <v>80000</v>
      </c>
      <c r="W34" s="1530"/>
      <c r="X34" s="1531"/>
      <c r="Z34" s="79"/>
    </row>
    <row r="35" spans="1:26">
      <c r="A35" s="5"/>
      <c r="B35" s="57"/>
      <c r="C35" s="195"/>
      <c r="D35" s="57"/>
      <c r="E35" s="57"/>
      <c r="F35" s="61"/>
      <c r="G35" s="61"/>
      <c r="H35" s="61"/>
      <c r="I35" s="195"/>
      <c r="J35" s="195"/>
      <c r="K35" s="57"/>
      <c r="L35" s="62"/>
      <c r="M35" s="63" t="s">
        <v>222</v>
      </c>
      <c r="N35" s="195"/>
      <c r="O35" s="195"/>
      <c r="P35" s="36"/>
      <c r="Q35" s="35">
        <v>12</v>
      </c>
      <c r="R35" s="1147" t="s">
        <v>221</v>
      </c>
      <c r="S35" s="1148"/>
      <c r="T35" s="1349">
        <v>17500</v>
      </c>
      <c r="U35" s="1350"/>
      <c r="V35" s="1529">
        <f t="shared" si="0"/>
        <v>210000</v>
      </c>
      <c r="W35" s="1530"/>
      <c r="X35" s="1531"/>
    </row>
    <row r="36" spans="1:26">
      <c r="A36" s="5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36"/>
      <c r="M36" s="63" t="s">
        <v>952</v>
      </c>
      <c r="N36" s="195"/>
      <c r="O36" s="195"/>
      <c r="P36" s="36"/>
      <c r="Q36" s="35">
        <v>3</v>
      </c>
      <c r="R36" s="1147" t="s">
        <v>221</v>
      </c>
      <c r="S36" s="1148"/>
      <c r="T36" s="1349">
        <v>10000</v>
      </c>
      <c r="U36" s="1350"/>
      <c r="V36" s="288"/>
      <c r="W36" s="1530">
        <f>Q36*T36</f>
        <v>30000</v>
      </c>
      <c r="X36" s="1531"/>
    </row>
    <row r="37" spans="1:26">
      <c r="A37" s="5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36"/>
      <c r="M37" s="92" t="s">
        <v>463</v>
      </c>
      <c r="N37" s="195"/>
      <c r="O37" s="195"/>
      <c r="P37" s="36"/>
      <c r="Q37" s="35">
        <v>8</v>
      </c>
      <c r="R37" s="1147" t="s">
        <v>221</v>
      </c>
      <c r="S37" s="1148"/>
      <c r="T37" s="1349">
        <v>4000</v>
      </c>
      <c r="U37" s="1350"/>
      <c r="V37" s="1529">
        <f t="shared" si="0"/>
        <v>32000</v>
      </c>
      <c r="W37" s="1530"/>
      <c r="X37" s="1531"/>
    </row>
    <row r="38" spans="1:26">
      <c r="A38" s="5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36"/>
      <c r="M38" s="63" t="s">
        <v>223</v>
      </c>
      <c r="N38" s="195"/>
      <c r="O38" s="195"/>
      <c r="P38" s="36"/>
      <c r="Q38" s="35">
        <v>50</v>
      </c>
      <c r="R38" s="1147" t="s">
        <v>221</v>
      </c>
      <c r="S38" s="1148"/>
      <c r="T38" s="1349">
        <v>9000</v>
      </c>
      <c r="U38" s="1350"/>
      <c r="V38" s="1529">
        <f t="shared" si="0"/>
        <v>450000</v>
      </c>
      <c r="W38" s="1530"/>
      <c r="X38" s="1531"/>
    </row>
    <row r="39" spans="1:26">
      <c r="A39" s="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36"/>
      <c r="M39" s="63" t="s">
        <v>224</v>
      </c>
      <c r="N39" s="195"/>
      <c r="O39" s="195"/>
      <c r="P39" s="36"/>
      <c r="Q39" s="35">
        <v>1200</v>
      </c>
      <c r="R39" s="1147" t="s">
        <v>221</v>
      </c>
      <c r="S39" s="1148"/>
      <c r="T39" s="1349">
        <v>600</v>
      </c>
      <c r="U39" s="1350"/>
      <c r="V39" s="1529">
        <f t="shared" si="0"/>
        <v>720000</v>
      </c>
      <c r="W39" s="1530"/>
      <c r="X39" s="1531"/>
    </row>
    <row r="40" spans="1:26">
      <c r="A40" s="5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36"/>
      <c r="M40" s="63" t="s">
        <v>225</v>
      </c>
      <c r="N40" s="195"/>
      <c r="O40" s="195"/>
      <c r="P40" s="36"/>
      <c r="Q40" s="35">
        <v>15</v>
      </c>
      <c r="R40" s="1147" t="s">
        <v>221</v>
      </c>
      <c r="S40" s="1148"/>
      <c r="T40" s="1349">
        <v>9000</v>
      </c>
      <c r="U40" s="1350"/>
      <c r="V40" s="1529">
        <f t="shared" si="0"/>
        <v>135000</v>
      </c>
      <c r="W40" s="1530"/>
      <c r="X40" s="1531"/>
    </row>
    <row r="41" spans="1:26">
      <c r="A41" s="5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36"/>
      <c r="M41" s="63" t="s">
        <v>226</v>
      </c>
      <c r="N41" s="195"/>
      <c r="O41" s="195"/>
      <c r="P41" s="36"/>
      <c r="Q41" s="35">
        <v>1300</v>
      </c>
      <c r="R41" s="1147" t="s">
        <v>221</v>
      </c>
      <c r="S41" s="1148"/>
      <c r="T41" s="1349">
        <v>500</v>
      </c>
      <c r="U41" s="1350"/>
      <c r="V41" s="1529">
        <f t="shared" si="0"/>
        <v>650000</v>
      </c>
      <c r="W41" s="1530"/>
      <c r="X41" s="1531"/>
    </row>
    <row r="42" spans="1:26">
      <c r="A42" s="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36"/>
      <c r="M42" s="63" t="s">
        <v>954</v>
      </c>
      <c r="N42" s="195"/>
      <c r="O42" s="195"/>
      <c r="P42" s="36"/>
      <c r="Q42" s="35">
        <v>12</v>
      </c>
      <c r="R42" s="1147" t="s">
        <v>291</v>
      </c>
      <c r="S42" s="1148"/>
      <c r="T42" s="1349">
        <v>18500</v>
      </c>
      <c r="U42" s="1350"/>
      <c r="V42" s="1529">
        <f t="shared" si="0"/>
        <v>222000</v>
      </c>
      <c r="W42" s="1530"/>
      <c r="X42" s="1531"/>
    </row>
    <row r="43" spans="1:26">
      <c r="A43" s="5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36"/>
      <c r="M43" s="63" t="s">
        <v>953</v>
      </c>
      <c r="N43" s="195"/>
      <c r="O43" s="195"/>
      <c r="P43" s="36"/>
      <c r="Q43" s="35">
        <v>12</v>
      </c>
      <c r="R43" s="1147" t="s">
        <v>291</v>
      </c>
      <c r="S43" s="1148"/>
      <c r="T43" s="1349">
        <v>13000</v>
      </c>
      <c r="U43" s="1350"/>
      <c r="V43" s="1529">
        <f>T43*Q43</f>
        <v>156000</v>
      </c>
      <c r="W43" s="1530"/>
      <c r="X43" s="1531"/>
    </row>
    <row r="44" spans="1:26">
      <c r="A44" s="5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36"/>
      <c r="M44" s="63" t="s">
        <v>227</v>
      </c>
      <c r="N44" s="195"/>
      <c r="O44" s="195"/>
      <c r="P44" s="36"/>
      <c r="Q44" s="35">
        <v>12</v>
      </c>
      <c r="R44" s="1147" t="s">
        <v>291</v>
      </c>
      <c r="S44" s="1148"/>
      <c r="T44" s="1349">
        <v>8000</v>
      </c>
      <c r="U44" s="1350"/>
      <c r="V44" s="1529">
        <f t="shared" si="0"/>
        <v>96000</v>
      </c>
      <c r="W44" s="1530"/>
      <c r="X44" s="1531"/>
    </row>
    <row r="45" spans="1:26">
      <c r="A45" s="5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36"/>
      <c r="M45" s="92" t="s">
        <v>228</v>
      </c>
      <c r="N45" s="195"/>
      <c r="O45" s="195"/>
      <c r="P45" s="36"/>
      <c r="Q45" s="35">
        <v>22</v>
      </c>
      <c r="R45" s="1456" t="s">
        <v>221</v>
      </c>
      <c r="S45" s="1148"/>
      <c r="T45" s="1349">
        <v>23400</v>
      </c>
      <c r="U45" s="1350"/>
      <c r="V45" s="1529">
        <f>T45*Q45</f>
        <v>514800</v>
      </c>
      <c r="W45" s="1530"/>
      <c r="X45" s="1531"/>
    </row>
    <row r="46" spans="1:26">
      <c r="A46" s="5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36"/>
      <c r="M46" s="63" t="s">
        <v>958</v>
      </c>
      <c r="N46" s="195"/>
      <c r="O46" s="195"/>
      <c r="P46" s="36"/>
      <c r="Q46" s="35">
        <v>10</v>
      </c>
      <c r="R46" s="1147" t="s">
        <v>231</v>
      </c>
      <c r="S46" s="1148"/>
      <c r="T46" s="1349">
        <v>7800</v>
      </c>
      <c r="U46" s="1350"/>
      <c r="V46" s="1529">
        <f t="shared" si="0"/>
        <v>78000</v>
      </c>
      <c r="W46" s="1530"/>
      <c r="X46" s="1531"/>
    </row>
    <row r="47" spans="1:26">
      <c r="A47" s="5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36"/>
      <c r="M47" s="63" t="s">
        <v>462</v>
      </c>
      <c r="N47" s="195"/>
      <c r="O47" s="195"/>
      <c r="P47" s="36"/>
      <c r="Q47" s="35">
        <v>2</v>
      </c>
      <c r="R47" s="1147" t="s">
        <v>231</v>
      </c>
      <c r="S47" s="1148"/>
      <c r="T47" s="1349">
        <v>57000</v>
      </c>
      <c r="U47" s="1350"/>
      <c r="V47" s="1529">
        <f>T47*Q47</f>
        <v>114000</v>
      </c>
      <c r="W47" s="1530"/>
      <c r="X47" s="1531"/>
    </row>
    <row r="48" spans="1:26">
      <c r="A48" s="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36"/>
      <c r="M48" s="63" t="s">
        <v>300</v>
      </c>
      <c r="N48" s="195"/>
      <c r="O48" s="195"/>
      <c r="P48" s="36"/>
      <c r="Q48" s="35">
        <v>41</v>
      </c>
      <c r="R48" s="1147" t="s">
        <v>229</v>
      </c>
      <c r="S48" s="1148"/>
      <c r="T48" s="1349">
        <v>15000</v>
      </c>
      <c r="U48" s="1350"/>
      <c r="V48" s="1529">
        <f t="shared" si="0"/>
        <v>615000</v>
      </c>
      <c r="W48" s="1530"/>
      <c r="X48" s="1531"/>
    </row>
    <row r="49" spans="1:24">
      <c r="A49" s="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36"/>
      <c r="M49" s="63" t="s">
        <v>959</v>
      </c>
      <c r="N49" s="195"/>
      <c r="O49" s="195"/>
      <c r="P49" s="36"/>
      <c r="Q49" s="35">
        <v>6</v>
      </c>
      <c r="R49" s="1147" t="s">
        <v>221</v>
      </c>
      <c r="S49" s="1148"/>
      <c r="T49" s="1349">
        <v>16000</v>
      </c>
      <c r="U49" s="1350"/>
      <c r="V49" s="1529">
        <f t="shared" si="0"/>
        <v>96000</v>
      </c>
      <c r="W49" s="1530"/>
      <c r="X49" s="1531"/>
    </row>
    <row r="50" spans="1:24">
      <c r="A50" s="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36"/>
      <c r="M50" s="63" t="s">
        <v>961</v>
      </c>
      <c r="N50" s="195"/>
      <c r="O50" s="195"/>
      <c r="P50" s="36"/>
      <c r="Q50" s="35">
        <v>2</v>
      </c>
      <c r="R50" s="1147" t="s">
        <v>221</v>
      </c>
      <c r="S50" s="1148"/>
      <c r="T50" s="1349">
        <v>26000</v>
      </c>
      <c r="U50" s="1350"/>
      <c r="V50" s="1529">
        <f>Q50*T50</f>
        <v>52000</v>
      </c>
      <c r="W50" s="1530"/>
      <c r="X50" s="1531"/>
    </row>
    <row r="51" spans="1:24">
      <c r="A51" s="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36"/>
      <c r="M51" s="63" t="s">
        <v>301</v>
      </c>
      <c r="N51" s="195"/>
      <c r="O51" s="195"/>
      <c r="P51" s="36"/>
      <c r="Q51" s="35">
        <v>2</v>
      </c>
      <c r="R51" s="1147" t="s">
        <v>221</v>
      </c>
      <c r="S51" s="1148"/>
      <c r="T51" s="1349">
        <v>70000</v>
      </c>
      <c r="U51" s="1350"/>
      <c r="V51" s="1529">
        <f>T51*Q51</f>
        <v>140000</v>
      </c>
      <c r="W51" s="1530"/>
      <c r="X51" s="1531"/>
    </row>
    <row r="52" spans="1:24">
      <c r="A52" s="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36"/>
      <c r="M52" s="63" t="s">
        <v>960</v>
      </c>
      <c r="N52" s="195"/>
      <c r="O52" s="195"/>
      <c r="P52" s="36"/>
      <c r="Q52" s="35">
        <v>22</v>
      </c>
      <c r="R52" s="1147" t="s">
        <v>221</v>
      </c>
      <c r="S52" s="1148"/>
      <c r="T52" s="1349">
        <v>1500</v>
      </c>
      <c r="U52" s="1350"/>
      <c r="V52" s="1529">
        <f t="shared" si="0"/>
        <v>33000</v>
      </c>
      <c r="W52" s="1530"/>
      <c r="X52" s="1531"/>
    </row>
    <row r="53" spans="1:24">
      <c r="A53" s="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36"/>
      <c r="M53" s="63" t="s">
        <v>971</v>
      </c>
      <c r="N53" s="195"/>
      <c r="O53" s="195"/>
      <c r="P53" s="36"/>
      <c r="Q53" s="35">
        <v>14</v>
      </c>
      <c r="R53" s="1147" t="s">
        <v>221</v>
      </c>
      <c r="S53" s="1148"/>
      <c r="T53" s="1349">
        <v>4000</v>
      </c>
      <c r="U53" s="1350"/>
      <c r="V53" s="1529">
        <f>T53*Q53</f>
        <v>56000</v>
      </c>
      <c r="W53" s="1530"/>
      <c r="X53" s="1531"/>
    </row>
    <row r="54" spans="1:24">
      <c r="A54" s="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36"/>
      <c r="M54" s="63" t="s">
        <v>464</v>
      </c>
      <c r="N54" s="195"/>
      <c r="O54" s="195"/>
      <c r="P54" s="36"/>
      <c r="Q54" s="35">
        <v>10</v>
      </c>
      <c r="R54" s="1147" t="s">
        <v>230</v>
      </c>
      <c r="S54" s="1148"/>
      <c r="T54" s="1349">
        <v>9300</v>
      </c>
      <c r="U54" s="1350"/>
      <c r="V54" s="1529">
        <f t="shared" si="0"/>
        <v>93000</v>
      </c>
      <c r="W54" s="1530"/>
      <c r="X54" s="1531"/>
    </row>
    <row r="55" spans="1:24">
      <c r="A55" s="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36"/>
      <c r="M55" s="63" t="s">
        <v>465</v>
      </c>
      <c r="N55" s="195"/>
      <c r="O55" s="195"/>
      <c r="P55" s="36"/>
      <c r="Q55" s="35">
        <v>15</v>
      </c>
      <c r="R55" s="1147" t="s">
        <v>221</v>
      </c>
      <c r="S55" s="1148"/>
      <c r="T55" s="1349">
        <v>18500</v>
      </c>
      <c r="U55" s="1350"/>
      <c r="V55" s="1529">
        <f t="shared" si="0"/>
        <v>277500</v>
      </c>
      <c r="W55" s="1530"/>
      <c r="X55" s="1531"/>
    </row>
    <row r="56" spans="1:24">
      <c r="A56" s="5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36"/>
      <c r="M56" s="63" t="s">
        <v>294</v>
      </c>
      <c r="N56" s="195"/>
      <c r="O56" s="195"/>
      <c r="P56" s="36"/>
      <c r="Q56" s="35">
        <v>10</v>
      </c>
      <c r="R56" s="1147" t="s">
        <v>962</v>
      </c>
      <c r="S56" s="1148"/>
      <c r="T56" s="1349">
        <v>5200</v>
      </c>
      <c r="U56" s="1350"/>
      <c r="V56" s="1529">
        <f t="shared" si="0"/>
        <v>52000</v>
      </c>
      <c r="W56" s="1530"/>
      <c r="X56" s="1531"/>
    </row>
    <row r="57" spans="1:24">
      <c r="A57" s="5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36"/>
      <c r="M57" s="63" t="s">
        <v>296</v>
      </c>
      <c r="N57" s="195"/>
      <c r="O57" s="195"/>
      <c r="P57" s="36"/>
      <c r="Q57" s="35">
        <v>14</v>
      </c>
      <c r="R57" s="1147" t="s">
        <v>220</v>
      </c>
      <c r="S57" s="1148"/>
      <c r="T57" s="1349">
        <v>14500</v>
      </c>
      <c r="U57" s="1350"/>
      <c r="V57" s="1529">
        <f t="shared" si="0"/>
        <v>203000</v>
      </c>
      <c r="W57" s="1530"/>
      <c r="X57" s="1531"/>
    </row>
    <row r="58" spans="1:24">
      <c r="A58" s="5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36"/>
      <c r="M58" s="35" t="s">
        <v>575</v>
      </c>
      <c r="N58" s="195"/>
      <c r="O58" s="195"/>
      <c r="P58" s="36"/>
      <c r="Q58" s="35">
        <v>5</v>
      </c>
      <c r="R58" s="1147" t="s">
        <v>221</v>
      </c>
      <c r="S58" s="1148"/>
      <c r="T58" s="1349">
        <v>15600</v>
      </c>
      <c r="U58" s="1350"/>
      <c r="V58" s="1529">
        <f>T58*Q58</f>
        <v>78000</v>
      </c>
      <c r="W58" s="1530"/>
      <c r="X58" s="1531"/>
    </row>
    <row r="59" spans="1:24">
      <c r="A59" s="5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36"/>
      <c r="M59" s="63" t="s">
        <v>232</v>
      </c>
      <c r="N59" s="195"/>
      <c r="O59" s="195"/>
      <c r="P59" s="36"/>
      <c r="Q59" s="35">
        <v>6</v>
      </c>
      <c r="R59" s="1147" t="s">
        <v>230</v>
      </c>
      <c r="S59" s="1148"/>
      <c r="T59" s="1349">
        <v>3000</v>
      </c>
      <c r="U59" s="1350"/>
      <c r="V59" s="1529">
        <f t="shared" si="0"/>
        <v>18000</v>
      </c>
      <c r="W59" s="1530"/>
      <c r="X59" s="1531"/>
    </row>
    <row r="60" spans="1:24">
      <c r="A60" s="5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36"/>
      <c r="M60" s="63" t="s">
        <v>297</v>
      </c>
      <c r="N60" s="195"/>
      <c r="O60" s="195"/>
      <c r="P60" s="36"/>
      <c r="Q60" s="35">
        <v>20</v>
      </c>
      <c r="R60" s="1147" t="s">
        <v>221</v>
      </c>
      <c r="S60" s="1148"/>
      <c r="T60" s="1349">
        <v>6300</v>
      </c>
      <c r="U60" s="1350"/>
      <c r="V60" s="1529">
        <f t="shared" si="0"/>
        <v>126000</v>
      </c>
      <c r="W60" s="1530"/>
      <c r="X60" s="1531"/>
    </row>
    <row r="61" spans="1:24">
      <c r="A61" s="5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36"/>
      <c r="M61" s="63" t="s">
        <v>233</v>
      </c>
      <c r="N61" s="195"/>
      <c r="O61" s="195"/>
      <c r="P61" s="36"/>
      <c r="Q61" s="35">
        <v>6</v>
      </c>
      <c r="R61" s="1147" t="s">
        <v>221</v>
      </c>
      <c r="S61" s="1148"/>
      <c r="T61" s="1349">
        <v>6300</v>
      </c>
      <c r="U61" s="1350"/>
      <c r="V61" s="1529">
        <f t="shared" si="0"/>
        <v>37800</v>
      </c>
      <c r="W61" s="1530"/>
      <c r="X61" s="1531"/>
    </row>
    <row r="62" spans="1:24">
      <c r="A62" s="5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36"/>
      <c r="M62" s="63" t="s">
        <v>234</v>
      </c>
      <c r="N62" s="195"/>
      <c r="O62" s="195"/>
      <c r="P62" s="36"/>
      <c r="Q62" s="35">
        <v>6</v>
      </c>
      <c r="R62" s="1147" t="s">
        <v>962</v>
      </c>
      <c r="S62" s="1148"/>
      <c r="T62" s="1349">
        <v>18500</v>
      </c>
      <c r="U62" s="1350"/>
      <c r="V62" s="1529">
        <f t="shared" si="0"/>
        <v>111000</v>
      </c>
      <c r="W62" s="1530"/>
      <c r="X62" s="1531"/>
    </row>
    <row r="63" spans="1:24">
      <c r="A63" s="5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36"/>
      <c r="M63" s="63" t="s">
        <v>299</v>
      </c>
      <c r="N63" s="195"/>
      <c r="O63" s="195"/>
      <c r="P63" s="36"/>
      <c r="Q63" s="35">
        <v>5</v>
      </c>
      <c r="R63" s="1147" t="s">
        <v>220</v>
      </c>
      <c r="S63" s="1148"/>
      <c r="T63" s="1349">
        <v>5500</v>
      </c>
      <c r="U63" s="1350"/>
      <c r="V63" s="1529">
        <f t="shared" si="0"/>
        <v>27500</v>
      </c>
      <c r="W63" s="1530"/>
      <c r="X63" s="1531"/>
    </row>
    <row r="64" spans="1:24">
      <c r="A64" s="5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36"/>
      <c r="M64" s="63" t="s">
        <v>964</v>
      </c>
      <c r="N64" s="195"/>
      <c r="O64" s="195"/>
      <c r="P64" s="36"/>
      <c r="Q64" s="35">
        <v>4</v>
      </c>
      <c r="R64" s="1147" t="s">
        <v>221</v>
      </c>
      <c r="S64" s="1148"/>
      <c r="T64" s="1349">
        <v>10000</v>
      </c>
      <c r="U64" s="1350"/>
      <c r="V64" s="1529">
        <f t="shared" si="0"/>
        <v>40000</v>
      </c>
      <c r="W64" s="1530"/>
      <c r="X64" s="1531"/>
    </row>
    <row r="65" spans="1:26">
      <c r="A65" s="5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36"/>
      <c r="M65" s="63" t="s">
        <v>293</v>
      </c>
      <c r="N65" s="195"/>
      <c r="O65" s="195"/>
      <c r="P65" s="36"/>
      <c r="Q65" s="35">
        <v>6</v>
      </c>
      <c r="R65" s="1147" t="s">
        <v>221</v>
      </c>
      <c r="S65" s="1148"/>
      <c r="T65" s="1349">
        <v>1000</v>
      </c>
      <c r="U65" s="1350"/>
      <c r="V65" s="1529">
        <f t="shared" si="0"/>
        <v>6000</v>
      </c>
      <c r="W65" s="1530"/>
      <c r="X65" s="1531"/>
    </row>
    <row r="66" spans="1:26">
      <c r="A66" s="5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36"/>
      <c r="M66" s="63" t="s">
        <v>236</v>
      </c>
      <c r="N66" s="195"/>
      <c r="O66" s="195"/>
      <c r="P66" s="36"/>
      <c r="Q66" s="35">
        <v>2</v>
      </c>
      <c r="R66" s="1147" t="s">
        <v>965</v>
      </c>
      <c r="S66" s="1148"/>
      <c r="T66" s="1349">
        <v>20000</v>
      </c>
      <c r="U66" s="1350"/>
      <c r="V66" s="1529">
        <f t="shared" si="0"/>
        <v>40000</v>
      </c>
      <c r="W66" s="1530"/>
      <c r="X66" s="1531"/>
      <c r="Z66" s="580"/>
    </row>
    <row r="67" spans="1:26">
      <c r="A67" s="5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36"/>
      <c r="M67" s="92" t="s">
        <v>963</v>
      </c>
      <c r="N67" s="195"/>
      <c r="O67" s="195"/>
      <c r="P67" s="36"/>
      <c r="Q67" s="35">
        <v>10</v>
      </c>
      <c r="R67" s="1456" t="s">
        <v>221</v>
      </c>
      <c r="S67" s="1532"/>
      <c r="T67" s="1349">
        <v>4000</v>
      </c>
      <c r="U67" s="1350"/>
      <c r="V67" s="1529">
        <f>T67*Q67</f>
        <v>40000</v>
      </c>
      <c r="W67" s="1530"/>
      <c r="X67" s="1531"/>
      <c r="Z67" s="79"/>
    </row>
    <row r="68" spans="1:26">
      <c r="A68" s="5"/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36"/>
      <c r="M68" s="92" t="s">
        <v>970</v>
      </c>
      <c r="N68" s="195"/>
      <c r="O68" s="195"/>
      <c r="P68" s="36"/>
      <c r="Q68" s="35">
        <v>20</v>
      </c>
      <c r="R68" s="1456" t="s">
        <v>221</v>
      </c>
      <c r="S68" s="1532"/>
      <c r="T68" s="1349">
        <v>2600</v>
      </c>
      <c r="U68" s="1350"/>
      <c r="V68" s="1529">
        <f>T68*Q68</f>
        <v>52000</v>
      </c>
      <c r="W68" s="1530"/>
      <c r="X68" s="1531"/>
    </row>
    <row r="69" spans="1:26">
      <c r="A69" s="5"/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36"/>
      <c r="M69" s="92" t="s">
        <v>982</v>
      </c>
      <c r="N69" s="195"/>
      <c r="O69" s="195"/>
      <c r="P69" s="36"/>
      <c r="Q69" s="35">
        <v>4</v>
      </c>
      <c r="R69" s="1456" t="s">
        <v>221</v>
      </c>
      <c r="S69" s="1532"/>
      <c r="T69" s="1349">
        <v>104000</v>
      </c>
      <c r="U69" s="1350"/>
      <c r="V69" s="1529">
        <f>T69*Q69</f>
        <v>416000</v>
      </c>
      <c r="W69" s="1530"/>
      <c r="X69" s="1531"/>
    </row>
    <row r="70" spans="1:26">
      <c r="A70" s="5"/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36"/>
      <c r="M70" s="92"/>
      <c r="N70" s="195"/>
      <c r="O70" s="195"/>
      <c r="P70" s="36"/>
      <c r="Q70" s="35"/>
      <c r="R70" s="536"/>
      <c r="S70" s="547"/>
      <c r="T70" s="530"/>
      <c r="U70" s="531"/>
      <c r="V70" s="544"/>
      <c r="W70" s="545"/>
      <c r="X70" s="546"/>
    </row>
    <row r="71" spans="1:26" ht="15.75" thickBot="1">
      <c r="A71" s="5"/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36"/>
      <c r="M71" s="92"/>
      <c r="N71" s="195"/>
      <c r="O71" s="195"/>
      <c r="P71" s="36"/>
      <c r="Q71" s="35"/>
      <c r="R71" s="287"/>
      <c r="S71" s="291"/>
      <c r="T71" s="282"/>
      <c r="U71" s="283"/>
      <c r="V71" s="288"/>
      <c r="W71" s="289"/>
      <c r="X71" s="290"/>
    </row>
    <row r="72" spans="1:26">
      <c r="A72" s="1533" t="s">
        <v>144</v>
      </c>
      <c r="B72" s="1534"/>
      <c r="C72" s="1534"/>
      <c r="D72" s="1534"/>
      <c r="E72" s="1534"/>
      <c r="F72" s="1534"/>
      <c r="G72" s="1534"/>
      <c r="H72" s="1534"/>
      <c r="I72" s="1534"/>
      <c r="J72" s="1534"/>
      <c r="K72" s="1534"/>
      <c r="L72" s="1534"/>
      <c r="M72" s="1534"/>
      <c r="N72" s="1534"/>
      <c r="O72" s="1535"/>
      <c r="P72" s="1536" t="s">
        <v>145</v>
      </c>
      <c r="Q72" s="1537"/>
      <c r="R72" s="1537"/>
      <c r="S72" s="1537"/>
      <c r="T72" s="1538"/>
      <c r="U72" s="741" t="s">
        <v>491</v>
      </c>
      <c r="V72" s="742"/>
      <c r="W72" s="742"/>
      <c r="X72" s="743"/>
    </row>
    <row r="73" spans="1:26" ht="15.75" thickBot="1">
      <c r="A73" s="4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1539"/>
      <c r="Q73" s="1540"/>
      <c r="R73" s="1540"/>
      <c r="S73" s="1540"/>
      <c r="T73" s="1541"/>
      <c r="U73" s="744"/>
      <c r="V73" s="745"/>
      <c r="W73" s="745"/>
      <c r="X73" s="746"/>
    </row>
    <row r="74" spans="1:26">
      <c r="A74" s="195"/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67"/>
      <c r="N74" s="195"/>
      <c r="O74" s="195"/>
      <c r="P74" s="195"/>
      <c r="Q74" s="195"/>
      <c r="R74" s="285"/>
      <c r="S74" s="285"/>
      <c r="T74" s="284"/>
      <c r="U74" s="284"/>
      <c r="V74" s="289"/>
      <c r="W74" s="289"/>
      <c r="X74" s="289"/>
    </row>
    <row r="75" spans="1:26">
      <c r="A75" s="195"/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67"/>
      <c r="N75" s="195"/>
      <c r="O75" s="195"/>
      <c r="P75" s="195"/>
      <c r="Q75" s="195"/>
      <c r="R75" s="285"/>
      <c r="S75" s="285"/>
      <c r="T75" s="284"/>
      <c r="U75" s="284"/>
      <c r="V75" s="289"/>
      <c r="W75" s="289"/>
      <c r="X75" s="289"/>
    </row>
    <row r="76" spans="1:26">
      <c r="A76" s="195"/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67"/>
      <c r="N76" s="195"/>
      <c r="O76" s="195"/>
      <c r="P76" s="195"/>
      <c r="Q76" s="195"/>
      <c r="R76" s="285"/>
      <c r="S76" s="285"/>
      <c r="T76" s="284"/>
      <c r="U76" s="284"/>
      <c r="V76" s="289"/>
      <c r="W76" s="289"/>
      <c r="X76" s="289"/>
    </row>
    <row r="77" spans="1:26">
      <c r="A77" s="195"/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67"/>
      <c r="N77" s="195"/>
      <c r="O77" s="195"/>
      <c r="P77" s="195"/>
      <c r="Q77" s="195"/>
      <c r="R77" s="285"/>
      <c r="S77" s="285"/>
      <c r="T77" s="284"/>
      <c r="U77" s="284"/>
      <c r="V77" s="289"/>
      <c r="W77" s="289"/>
      <c r="X77" s="289"/>
    </row>
    <row r="78" spans="1:26" ht="15.75" thickBot="1">
      <c r="A78" s="195"/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67"/>
      <c r="N78" s="195"/>
      <c r="O78" s="195"/>
      <c r="P78" s="195"/>
      <c r="Q78" s="195"/>
      <c r="R78" s="285"/>
      <c r="S78" s="285"/>
      <c r="T78" s="284"/>
      <c r="U78" s="284"/>
      <c r="V78" s="289"/>
      <c r="W78" s="289"/>
      <c r="X78" s="289"/>
    </row>
    <row r="79" spans="1:26">
      <c r="A79" s="94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123"/>
      <c r="M79" s="294"/>
      <c r="N79" s="65"/>
      <c r="O79" s="65"/>
      <c r="P79" s="123"/>
      <c r="Q79" s="51"/>
      <c r="R79" s="293"/>
      <c r="S79" s="292"/>
      <c r="T79" s="147"/>
      <c r="U79" s="295"/>
      <c r="V79" s="296"/>
      <c r="W79" s="297"/>
      <c r="X79" s="298"/>
    </row>
    <row r="80" spans="1:26">
      <c r="A80" s="5"/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36"/>
      <c r="M80" s="63" t="s">
        <v>969</v>
      </c>
      <c r="N80" s="195"/>
      <c r="O80" s="195"/>
      <c r="P80" s="36"/>
      <c r="Q80" s="35">
        <v>2</v>
      </c>
      <c r="R80" s="1147" t="s">
        <v>221</v>
      </c>
      <c r="S80" s="1148"/>
      <c r="T80" s="1349">
        <v>78000</v>
      </c>
      <c r="U80" s="1350"/>
      <c r="V80" s="1529">
        <f>T80*Q80</f>
        <v>156000</v>
      </c>
      <c r="W80" s="1530"/>
      <c r="X80" s="1531"/>
      <c r="Z80" s="78"/>
    </row>
    <row r="81" spans="1:26">
      <c r="A81" s="5"/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36"/>
      <c r="M81" s="63" t="s">
        <v>968</v>
      </c>
      <c r="N81" s="195"/>
      <c r="O81" s="195"/>
      <c r="P81" s="36"/>
      <c r="Q81" s="35">
        <v>36</v>
      </c>
      <c r="R81" s="1147" t="s">
        <v>221</v>
      </c>
      <c r="S81" s="1148"/>
      <c r="T81" s="1349">
        <v>2500</v>
      </c>
      <c r="U81" s="1350"/>
      <c r="V81" s="1529">
        <f t="shared" si="0"/>
        <v>90000</v>
      </c>
      <c r="W81" s="1530"/>
      <c r="X81" s="1531"/>
    </row>
    <row r="82" spans="1:26">
      <c r="A82" s="5"/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63" t="s">
        <v>966</v>
      </c>
      <c r="N82" s="195"/>
      <c r="O82" s="195"/>
      <c r="P82" s="195"/>
      <c r="Q82" s="35">
        <v>40</v>
      </c>
      <c r="R82" s="1147" t="s">
        <v>221</v>
      </c>
      <c r="S82" s="1148"/>
      <c r="T82" s="1349">
        <v>6200</v>
      </c>
      <c r="U82" s="1350"/>
      <c r="V82" s="1529">
        <f>T82*Q82</f>
        <v>248000</v>
      </c>
      <c r="W82" s="1530"/>
      <c r="X82" s="1531"/>
    </row>
    <row r="83" spans="1:26">
      <c r="A83" s="5"/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63" t="s">
        <v>967</v>
      </c>
      <c r="N83" s="195"/>
      <c r="O83" s="195"/>
      <c r="P83" s="195"/>
      <c r="Q83" s="35">
        <v>50</v>
      </c>
      <c r="R83" s="1147" t="s">
        <v>221</v>
      </c>
      <c r="S83" s="1148"/>
      <c r="T83" s="1349">
        <v>1500</v>
      </c>
      <c r="U83" s="1350"/>
      <c r="V83" s="1529">
        <f>T83*Q83</f>
        <v>75000</v>
      </c>
      <c r="W83" s="1530"/>
      <c r="X83" s="1531"/>
    </row>
    <row r="84" spans="1:26">
      <c r="A84" s="5"/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63" t="s">
        <v>461</v>
      </c>
      <c r="N84" s="195"/>
      <c r="O84" s="195"/>
      <c r="P84" s="195"/>
      <c r="Q84" s="35">
        <v>15</v>
      </c>
      <c r="R84" s="1147" t="s">
        <v>221</v>
      </c>
      <c r="S84" s="1148"/>
      <c r="T84" s="1349">
        <v>16500</v>
      </c>
      <c r="U84" s="1350"/>
      <c r="V84" s="1529">
        <f>T84*Q84</f>
        <v>247500</v>
      </c>
      <c r="W84" s="1530"/>
      <c r="X84" s="1531"/>
    </row>
    <row r="85" spans="1:26">
      <c r="A85" s="5"/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63" t="s">
        <v>238</v>
      </c>
      <c r="N85" s="195"/>
      <c r="O85" s="195"/>
      <c r="P85" s="195"/>
      <c r="Q85" s="35">
        <v>8</v>
      </c>
      <c r="R85" s="1147" t="s">
        <v>239</v>
      </c>
      <c r="S85" s="1148"/>
      <c r="T85" s="1349">
        <v>4200</v>
      </c>
      <c r="U85" s="1350"/>
      <c r="V85" s="1529">
        <f>Q85*T85</f>
        <v>33600</v>
      </c>
      <c r="W85" s="1530"/>
      <c r="X85" s="1531"/>
    </row>
    <row r="86" spans="1:26">
      <c r="A86" s="5"/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93" t="s">
        <v>240</v>
      </c>
      <c r="N86" s="195"/>
      <c r="O86" s="195"/>
      <c r="P86" s="195"/>
      <c r="Q86" s="35">
        <v>6</v>
      </c>
      <c r="R86" s="1456" t="s">
        <v>239</v>
      </c>
      <c r="S86" s="1532"/>
      <c r="T86" s="1349">
        <v>7350</v>
      </c>
      <c r="U86" s="1350"/>
      <c r="V86" s="1529">
        <f>Q86*T86</f>
        <v>44100</v>
      </c>
      <c r="W86" s="1530"/>
      <c r="X86" s="1531"/>
    </row>
    <row r="87" spans="1:26">
      <c r="A87" s="5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92" t="s">
        <v>295</v>
      </c>
      <c r="N87" s="195"/>
      <c r="O87" s="195"/>
      <c r="P87" s="195"/>
      <c r="Q87" s="35">
        <v>12</v>
      </c>
      <c r="R87" s="1456" t="s">
        <v>221</v>
      </c>
      <c r="S87" s="1532"/>
      <c r="T87" s="1349">
        <v>1000</v>
      </c>
      <c r="U87" s="1350"/>
      <c r="V87" s="1529">
        <f>Q87*T87</f>
        <v>12000</v>
      </c>
      <c r="W87" s="1530"/>
      <c r="X87" s="1531"/>
    </row>
    <row r="88" spans="1:26">
      <c r="A88" s="5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92" t="s">
        <v>508</v>
      </c>
      <c r="N88" s="195"/>
      <c r="O88" s="195"/>
      <c r="P88" s="195"/>
      <c r="Q88" s="35">
        <v>4</v>
      </c>
      <c r="R88" s="1456" t="s">
        <v>221</v>
      </c>
      <c r="S88" s="1532"/>
      <c r="T88" s="1349">
        <v>80000</v>
      </c>
      <c r="U88" s="1350"/>
      <c r="V88" s="1529">
        <f>Q88*T88</f>
        <v>320000</v>
      </c>
      <c r="W88" s="1530"/>
      <c r="X88" s="1531"/>
    </row>
    <row r="89" spans="1:26">
      <c r="A89" s="5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92" t="s">
        <v>1005</v>
      </c>
      <c r="N89" s="195"/>
      <c r="O89" s="195"/>
      <c r="P89" s="195"/>
      <c r="Q89" s="35"/>
      <c r="R89" s="672"/>
      <c r="S89" s="677"/>
      <c r="T89" s="669"/>
      <c r="U89" s="670"/>
      <c r="V89" s="1529">
        <v>200</v>
      </c>
      <c r="W89" s="1530"/>
      <c r="X89" s="1531"/>
      <c r="Z89" s="79">
        <f>V91/4</f>
        <v>4574750</v>
      </c>
    </row>
    <row r="90" spans="1:26">
      <c r="A90" s="5"/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92"/>
      <c r="N90" s="195"/>
      <c r="O90" s="195"/>
      <c r="P90" s="195"/>
      <c r="Q90" s="35"/>
      <c r="R90" s="672"/>
      <c r="S90" s="677"/>
      <c r="T90" s="669"/>
      <c r="U90" s="670"/>
      <c r="V90" s="678"/>
      <c r="W90" s="678"/>
      <c r="X90" s="679"/>
    </row>
    <row r="91" spans="1:26" ht="15.75" thickBot="1">
      <c r="A91" s="80" t="s">
        <v>110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91"/>
      <c r="N91" s="140"/>
      <c r="O91" s="140"/>
      <c r="P91" s="140"/>
      <c r="Q91" s="592"/>
      <c r="R91" s="591"/>
      <c r="S91" s="593"/>
      <c r="T91" s="594"/>
      <c r="U91" s="595"/>
      <c r="V91" s="1542">
        <f>SUM(V31:X90)</f>
        <v>18299000</v>
      </c>
      <c r="W91" s="1542"/>
      <c r="X91" s="1543"/>
    </row>
    <row r="92" spans="1:26" ht="15.75" thickBot="1">
      <c r="A92" s="819" t="s">
        <v>105</v>
      </c>
      <c r="B92" s="820"/>
      <c r="C92" s="820"/>
      <c r="D92" s="820"/>
      <c r="E92" s="820"/>
      <c r="F92" s="820"/>
      <c r="G92" s="820"/>
      <c r="H92" s="820"/>
      <c r="I92" s="820"/>
      <c r="J92" s="820"/>
      <c r="K92" s="820"/>
      <c r="L92" s="820"/>
      <c r="M92" s="820"/>
      <c r="N92" s="820"/>
      <c r="O92" s="820"/>
      <c r="P92" s="820"/>
      <c r="Q92" s="820"/>
      <c r="R92" s="1432"/>
      <c r="S92" s="1432"/>
      <c r="T92" s="1432"/>
      <c r="U92" s="1432"/>
      <c r="V92" s="1432"/>
      <c r="W92" s="1432"/>
      <c r="X92" s="1433"/>
    </row>
    <row r="93" spans="1:26">
      <c r="A93" s="5" t="s">
        <v>106</v>
      </c>
      <c r="B93" s="195"/>
      <c r="C93" s="195"/>
      <c r="D93" s="195"/>
      <c r="E93" s="195" t="s">
        <v>6</v>
      </c>
      <c r="F93" s="195" t="s">
        <v>154</v>
      </c>
      <c r="G93" s="195"/>
      <c r="H93" s="1422">
        <v>4574750</v>
      </c>
      <c r="I93" s="1422"/>
      <c r="J93" s="1422"/>
      <c r="K93" s="1422"/>
      <c r="L93" s="1422"/>
      <c r="M93" s="1422"/>
      <c r="N93" s="195"/>
      <c r="O93" s="195"/>
      <c r="P93" s="195"/>
      <c r="Q93" s="195"/>
      <c r="R93" s="1146" t="s">
        <v>584</v>
      </c>
      <c r="S93" s="1146"/>
      <c r="T93" s="1146"/>
      <c r="U93" s="1146"/>
      <c r="V93" s="1146"/>
      <c r="W93" s="1146"/>
      <c r="X93" s="1149"/>
    </row>
    <row r="94" spans="1:26">
      <c r="A94" s="5" t="s">
        <v>107</v>
      </c>
      <c r="B94" s="195"/>
      <c r="C94" s="195"/>
      <c r="D94" s="195"/>
      <c r="E94" s="195" t="s">
        <v>6</v>
      </c>
      <c r="F94" s="195" t="s">
        <v>154</v>
      </c>
      <c r="G94" s="195"/>
      <c r="H94" s="1422">
        <v>4574750</v>
      </c>
      <c r="I94" s="1422"/>
      <c r="J94" s="1422"/>
      <c r="K94" s="1422"/>
      <c r="L94" s="1422"/>
      <c r="M94" s="1422"/>
      <c r="N94" s="195"/>
      <c r="O94" s="195"/>
      <c r="P94" s="195"/>
      <c r="Q94" s="195"/>
      <c r="R94" s="1146" t="s">
        <v>585</v>
      </c>
      <c r="S94" s="1146"/>
      <c r="T94" s="1146"/>
      <c r="U94" s="1146"/>
      <c r="V94" s="1146"/>
      <c r="W94" s="1146"/>
      <c r="X94" s="1149"/>
    </row>
    <row r="95" spans="1:26">
      <c r="A95" s="5" t="s">
        <v>108</v>
      </c>
      <c r="B95" s="195"/>
      <c r="C95" s="195"/>
      <c r="D95" s="195"/>
      <c r="E95" s="195" t="s">
        <v>6</v>
      </c>
      <c r="F95" s="195" t="s">
        <v>154</v>
      </c>
      <c r="G95" s="195"/>
      <c r="H95" s="1422">
        <v>4574750</v>
      </c>
      <c r="I95" s="1422"/>
      <c r="J95" s="1422"/>
      <c r="K95" s="1422"/>
      <c r="L95" s="1422"/>
      <c r="M95" s="1422"/>
      <c r="N95" s="195"/>
      <c r="O95" s="195"/>
      <c r="P95" s="195"/>
      <c r="Q95" s="195"/>
      <c r="R95" s="195"/>
      <c r="S95" s="195"/>
      <c r="T95" s="1146"/>
      <c r="U95" s="1146"/>
      <c r="V95" s="1146"/>
      <c r="W95" s="1146"/>
      <c r="X95" s="2"/>
    </row>
    <row r="96" spans="1:26" ht="16.5">
      <c r="A96" s="5" t="s">
        <v>109</v>
      </c>
      <c r="B96" s="195"/>
      <c r="C96" s="195"/>
      <c r="D96" s="195"/>
      <c r="E96" s="195" t="s">
        <v>6</v>
      </c>
      <c r="F96" s="45" t="s">
        <v>154</v>
      </c>
      <c r="G96" s="45"/>
      <c r="H96" s="1547">
        <v>4574750</v>
      </c>
      <c r="I96" s="1547"/>
      <c r="J96" s="1547"/>
      <c r="K96" s="1547"/>
      <c r="L96" s="1547"/>
      <c r="M96" s="1547"/>
      <c r="N96" s="195"/>
      <c r="O96" s="195"/>
      <c r="P96" s="195"/>
      <c r="Q96" s="195"/>
      <c r="R96" s="195"/>
      <c r="S96" s="195"/>
      <c r="T96" s="816"/>
      <c r="U96" s="816"/>
      <c r="V96" s="816"/>
      <c r="W96" s="816"/>
      <c r="X96" s="2"/>
    </row>
    <row r="97" spans="1:24">
      <c r="A97" s="5" t="s">
        <v>15</v>
      </c>
      <c r="B97" s="195"/>
      <c r="C97" s="195"/>
      <c r="D97" s="195"/>
      <c r="E97" s="195" t="s">
        <v>6</v>
      </c>
      <c r="F97" s="45" t="s">
        <v>154</v>
      </c>
      <c r="G97" s="45"/>
      <c r="H97" s="1422">
        <f>SUM(H93:L96)</f>
        <v>18299000</v>
      </c>
      <c r="I97" s="1422"/>
      <c r="J97" s="1422"/>
      <c r="K97" s="1422"/>
      <c r="L97" s="1422"/>
      <c r="M97" s="1422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2"/>
    </row>
    <row r="98" spans="1:24">
      <c r="A98" s="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357" t="s">
        <v>849</v>
      </c>
      <c r="S98" s="1357"/>
      <c r="T98" s="1357"/>
      <c r="U98" s="1357"/>
      <c r="V98" s="1357"/>
      <c r="W98" s="1357"/>
      <c r="X98" s="1358"/>
    </row>
    <row r="99" spans="1:24">
      <c r="A99" s="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359" t="s">
        <v>914</v>
      </c>
      <c r="S99" s="1146"/>
      <c r="T99" s="1146"/>
      <c r="U99" s="1146"/>
      <c r="V99" s="1146"/>
      <c r="W99" s="1146"/>
      <c r="X99" s="1149"/>
    </row>
    <row r="100" spans="1:24" ht="0.75" customHeight="1">
      <c r="A100" s="5"/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34"/>
      <c r="R100" s="306"/>
      <c r="S100" s="308"/>
      <c r="T100" s="308"/>
      <c r="U100" s="308"/>
      <c r="V100" s="308"/>
      <c r="W100" s="308"/>
      <c r="X100" s="307"/>
    </row>
    <row r="101" spans="1:24" ht="0.75" customHeight="1" thickBot="1">
      <c r="A101" s="5"/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666"/>
      <c r="S101" s="668"/>
      <c r="T101" s="668"/>
      <c r="U101" s="668"/>
      <c r="V101" s="668"/>
      <c r="W101" s="668"/>
      <c r="X101" s="667"/>
    </row>
    <row r="102" spans="1:24">
      <c r="A102" s="1544" t="s">
        <v>1018</v>
      </c>
      <c r="B102" s="1545"/>
      <c r="C102" s="1545"/>
      <c r="D102" s="1545"/>
      <c r="E102" s="1545"/>
      <c r="F102" s="1545"/>
      <c r="G102" s="1545"/>
      <c r="H102" s="1545"/>
      <c r="I102" s="1545"/>
      <c r="J102" s="1545"/>
      <c r="K102" s="1545"/>
      <c r="L102" s="1545"/>
      <c r="M102" s="1545"/>
      <c r="N102" s="1545"/>
      <c r="O102" s="1545"/>
      <c r="P102" s="1545"/>
      <c r="Q102" s="747"/>
      <c r="R102" s="1546" t="s">
        <v>921</v>
      </c>
      <c r="S102" s="1534"/>
      <c r="T102" s="1534"/>
      <c r="U102" s="1534"/>
      <c r="V102" s="1534"/>
      <c r="W102" s="1534"/>
      <c r="X102" s="1168"/>
    </row>
    <row r="103" spans="1:24">
      <c r="A103" s="663"/>
      <c r="B103" s="664"/>
      <c r="C103" s="664"/>
      <c r="D103" s="664"/>
      <c r="E103" s="664"/>
      <c r="F103" s="664"/>
      <c r="G103" s="664"/>
      <c r="H103" s="664"/>
      <c r="I103" s="664"/>
      <c r="J103" s="664"/>
      <c r="K103" s="664"/>
      <c r="L103" s="664"/>
      <c r="M103" s="664"/>
      <c r="N103" s="664"/>
      <c r="O103" s="664"/>
      <c r="P103" s="664"/>
      <c r="Q103" s="195"/>
      <c r="R103" s="1147" t="s">
        <v>155</v>
      </c>
      <c r="S103" s="1146"/>
      <c r="T103" s="1146"/>
      <c r="U103" s="1146"/>
      <c r="V103" s="1146"/>
      <c r="W103" s="1146"/>
      <c r="X103" s="1149"/>
    </row>
    <row r="104" spans="1:24">
      <c r="A104" s="280"/>
      <c r="B104" s="281"/>
      <c r="C104" s="281"/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195"/>
      <c r="R104" s="1147" t="s">
        <v>114</v>
      </c>
      <c r="S104" s="1146"/>
      <c r="T104" s="1146"/>
      <c r="U104" s="1146"/>
      <c r="V104" s="1146"/>
      <c r="W104" s="1146"/>
      <c r="X104" s="1149"/>
    </row>
    <row r="105" spans="1:24">
      <c r="A105" s="5">
        <v>1</v>
      </c>
      <c r="B105" s="195" t="s">
        <v>460</v>
      </c>
      <c r="C105" s="195"/>
      <c r="D105" s="195"/>
      <c r="E105" s="195"/>
      <c r="F105" s="195"/>
      <c r="G105" s="195"/>
      <c r="H105" s="195"/>
      <c r="I105" s="195"/>
      <c r="J105" s="195"/>
      <c r="K105" s="195" t="s">
        <v>193</v>
      </c>
      <c r="L105" s="195"/>
      <c r="M105" s="195"/>
      <c r="N105" s="195"/>
      <c r="O105" s="195"/>
      <c r="P105" s="195"/>
      <c r="Q105" s="195"/>
      <c r="R105" s="35"/>
      <c r="S105" s="195"/>
      <c r="T105" s="195"/>
      <c r="U105" s="195"/>
      <c r="V105" s="195"/>
      <c r="W105" s="195"/>
      <c r="X105" s="2"/>
    </row>
    <row r="106" spans="1:24">
      <c r="A106" s="5"/>
      <c r="B106" t="s">
        <v>1019</v>
      </c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35"/>
      <c r="S106" s="195"/>
      <c r="T106" s="195"/>
      <c r="U106" s="195"/>
      <c r="V106" s="195"/>
      <c r="W106" s="195"/>
      <c r="X106" s="2"/>
    </row>
    <row r="107" spans="1:24">
      <c r="A107" s="5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35"/>
      <c r="S107" s="195"/>
      <c r="T107" s="195"/>
      <c r="U107" s="195"/>
      <c r="V107" s="195"/>
      <c r="W107" s="195"/>
      <c r="X107" s="2"/>
    </row>
    <row r="108" spans="1:24">
      <c r="A108" s="5">
        <v>2</v>
      </c>
      <c r="B108" s="195" t="s">
        <v>194</v>
      </c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 t="s">
        <v>195</v>
      </c>
      <c r="O108" s="195"/>
      <c r="P108" s="195"/>
      <c r="Q108" s="195"/>
      <c r="R108" s="1427" t="s">
        <v>115</v>
      </c>
      <c r="S108" s="1357"/>
      <c r="T108" s="1357"/>
      <c r="U108" s="1357"/>
      <c r="V108" s="1357"/>
      <c r="W108" s="1357"/>
      <c r="X108" s="1358"/>
    </row>
    <row r="109" spans="1:24">
      <c r="A109" s="5"/>
      <c r="B109" s="45" t="s">
        <v>1019</v>
      </c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147" t="s">
        <v>116</v>
      </c>
      <c r="S109" s="1146"/>
      <c r="T109" s="1146"/>
      <c r="U109" s="1146"/>
      <c r="V109" s="1146"/>
      <c r="W109" s="1146"/>
      <c r="X109" s="1149"/>
    </row>
    <row r="110" spans="1:24">
      <c r="A110" s="5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35"/>
      <c r="S110" s="195"/>
      <c r="T110" s="195"/>
      <c r="U110" s="195"/>
      <c r="V110" s="195"/>
      <c r="W110" s="195"/>
      <c r="X110" s="2"/>
    </row>
    <row r="111" spans="1:24">
      <c r="A111" s="5"/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456"/>
      <c r="S111" s="1146"/>
      <c r="T111" s="1146"/>
      <c r="U111" s="1146"/>
      <c r="V111" s="1146"/>
      <c r="W111" s="1146"/>
      <c r="X111" s="1149"/>
    </row>
    <row r="112" spans="1:24" ht="15.75" thickBot="1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  <c r="S112" s="49"/>
      <c r="T112" s="49"/>
      <c r="U112" s="49"/>
      <c r="V112" s="49"/>
      <c r="W112" s="49"/>
      <c r="X112" s="86"/>
    </row>
  </sheetData>
  <mergeCells count="221">
    <mergeCell ref="R103:X103"/>
    <mergeCell ref="R69:S69"/>
    <mergeCell ref="T69:U69"/>
    <mergeCell ref="V69:X69"/>
    <mergeCell ref="R108:X108"/>
    <mergeCell ref="R94:X94"/>
    <mergeCell ref="R104:X104"/>
    <mergeCell ref="A1:O2"/>
    <mergeCell ref="W1:X1"/>
    <mergeCell ref="W2:X2"/>
    <mergeCell ref="A3:O4"/>
    <mergeCell ref="P3:P4"/>
    <mergeCell ref="Q3:Q4"/>
    <mergeCell ref="R3:R4"/>
    <mergeCell ref="S3:S4"/>
    <mergeCell ref="T3:T4"/>
    <mergeCell ref="A15:F15"/>
    <mergeCell ref="I15:T15"/>
    <mergeCell ref="U15:X15"/>
    <mergeCell ref="U16:X16"/>
    <mergeCell ref="V17:X17"/>
    <mergeCell ref="U18:X18"/>
    <mergeCell ref="U3:U4"/>
    <mergeCell ref="A14:X14"/>
    <mergeCell ref="V24:X24"/>
    <mergeCell ref="A25:L25"/>
    <mergeCell ref="M25:P25"/>
    <mergeCell ref="R25:S25"/>
    <mergeCell ref="T25:U25"/>
    <mergeCell ref="V25:X25"/>
    <mergeCell ref="U19:X19"/>
    <mergeCell ref="A21:X21"/>
    <mergeCell ref="A22:X22"/>
    <mergeCell ref="A23:L23"/>
    <mergeCell ref="M23:P24"/>
    <mergeCell ref="Q23:U23"/>
    <mergeCell ref="V23:X23"/>
    <mergeCell ref="A24:L24"/>
    <mergeCell ref="R24:S24"/>
    <mergeCell ref="T24:U24"/>
    <mergeCell ref="A26:L26"/>
    <mergeCell ref="R34:S34"/>
    <mergeCell ref="T34:U34"/>
    <mergeCell ref="V34:X34"/>
    <mergeCell ref="R32:S32"/>
    <mergeCell ref="T32:U32"/>
    <mergeCell ref="V32:X32"/>
    <mergeCell ref="A29:L29"/>
    <mergeCell ref="V29:X29"/>
    <mergeCell ref="A30:L30"/>
    <mergeCell ref="V30:X30"/>
    <mergeCell ref="R31:S31"/>
    <mergeCell ref="T31:U31"/>
    <mergeCell ref="V31:X31"/>
    <mergeCell ref="R33:S33"/>
    <mergeCell ref="T33:U33"/>
    <mergeCell ref="V33:X33"/>
    <mergeCell ref="A27:L27"/>
    <mergeCell ref="V27:X27"/>
    <mergeCell ref="A28:L28"/>
    <mergeCell ref="V28:X28"/>
    <mergeCell ref="R36:S36"/>
    <mergeCell ref="T36:U36"/>
    <mergeCell ref="W36:X36"/>
    <mergeCell ref="R37:S37"/>
    <mergeCell ref="T37:U37"/>
    <mergeCell ref="V37:X37"/>
    <mergeCell ref="R35:S35"/>
    <mergeCell ref="T35:U35"/>
    <mergeCell ref="V35:X35"/>
    <mergeCell ref="R40:S40"/>
    <mergeCell ref="T40:U40"/>
    <mergeCell ref="V40:X40"/>
    <mergeCell ref="R41:S41"/>
    <mergeCell ref="T41:U41"/>
    <mergeCell ref="V41:X41"/>
    <mergeCell ref="R38:S38"/>
    <mergeCell ref="T38:U38"/>
    <mergeCell ref="V38:X38"/>
    <mergeCell ref="R39:S39"/>
    <mergeCell ref="T39:U39"/>
    <mergeCell ref="V39:X39"/>
    <mergeCell ref="R45:S45"/>
    <mergeCell ref="T45:U45"/>
    <mergeCell ref="V45:X45"/>
    <mergeCell ref="R46:S46"/>
    <mergeCell ref="T46:U46"/>
    <mergeCell ref="V46:X46"/>
    <mergeCell ref="R42:S42"/>
    <mergeCell ref="T42:U42"/>
    <mergeCell ref="V42:X42"/>
    <mergeCell ref="R44:S44"/>
    <mergeCell ref="T44:U44"/>
    <mergeCell ref="V44:X44"/>
    <mergeCell ref="R43:S43"/>
    <mergeCell ref="T43:U43"/>
    <mergeCell ref="V43:X43"/>
    <mergeCell ref="R52:S52"/>
    <mergeCell ref="T52:U52"/>
    <mergeCell ref="V52:X52"/>
    <mergeCell ref="R54:S54"/>
    <mergeCell ref="T54:U54"/>
    <mergeCell ref="V54:X54"/>
    <mergeCell ref="R48:S48"/>
    <mergeCell ref="T48:U48"/>
    <mergeCell ref="V48:X48"/>
    <mergeCell ref="R49:S49"/>
    <mergeCell ref="T49:U49"/>
    <mergeCell ref="V49:X49"/>
    <mergeCell ref="R51:S51"/>
    <mergeCell ref="T51:U51"/>
    <mergeCell ref="V51:X51"/>
    <mergeCell ref="R50:S50"/>
    <mergeCell ref="T50:U50"/>
    <mergeCell ref="V50:X50"/>
    <mergeCell ref="R57:S57"/>
    <mergeCell ref="T57:U57"/>
    <mergeCell ref="V57:X57"/>
    <mergeCell ref="V58:X58"/>
    <mergeCell ref="T58:U58"/>
    <mergeCell ref="R55:S55"/>
    <mergeCell ref="T55:U55"/>
    <mergeCell ref="V55:X55"/>
    <mergeCell ref="R56:S56"/>
    <mergeCell ref="T56:U56"/>
    <mergeCell ref="V56:X56"/>
    <mergeCell ref="R58:S58"/>
    <mergeCell ref="R61:S61"/>
    <mergeCell ref="T61:U61"/>
    <mergeCell ref="V61:X61"/>
    <mergeCell ref="R59:S59"/>
    <mergeCell ref="T59:U59"/>
    <mergeCell ref="V59:X59"/>
    <mergeCell ref="R60:S60"/>
    <mergeCell ref="T60:U60"/>
    <mergeCell ref="V60:X60"/>
    <mergeCell ref="R64:S64"/>
    <mergeCell ref="T64:U64"/>
    <mergeCell ref="V64:X64"/>
    <mergeCell ref="R62:S62"/>
    <mergeCell ref="T62:U62"/>
    <mergeCell ref="V62:X62"/>
    <mergeCell ref="R63:S63"/>
    <mergeCell ref="T63:U63"/>
    <mergeCell ref="V63:X63"/>
    <mergeCell ref="V88:X88"/>
    <mergeCell ref="R82:S82"/>
    <mergeCell ref="R83:S83"/>
    <mergeCell ref="T82:U82"/>
    <mergeCell ref="T83:U83"/>
    <mergeCell ref="V82:X82"/>
    <mergeCell ref="V83:X83"/>
    <mergeCell ref="A102:P102"/>
    <mergeCell ref="R102:X102"/>
    <mergeCell ref="H93:M93"/>
    <mergeCell ref="R93:X93"/>
    <mergeCell ref="H94:M94"/>
    <mergeCell ref="H95:M95"/>
    <mergeCell ref="H96:M96"/>
    <mergeCell ref="H97:M97"/>
    <mergeCell ref="T95:W95"/>
    <mergeCell ref="V89:X89"/>
    <mergeCell ref="V65:X65"/>
    <mergeCell ref="R109:X109"/>
    <mergeCell ref="R111:X111"/>
    <mergeCell ref="R87:S87"/>
    <mergeCell ref="T87:U87"/>
    <mergeCell ref="V87:X87"/>
    <mergeCell ref="R98:X98"/>
    <mergeCell ref="R99:X99"/>
    <mergeCell ref="V91:X91"/>
    <mergeCell ref="R81:S81"/>
    <mergeCell ref="T81:U81"/>
    <mergeCell ref="V81:X81"/>
    <mergeCell ref="R85:S85"/>
    <mergeCell ref="T85:U85"/>
    <mergeCell ref="V85:X85"/>
    <mergeCell ref="T84:U84"/>
    <mergeCell ref="V84:X84"/>
    <mergeCell ref="R84:S84"/>
    <mergeCell ref="R92:X92"/>
    <mergeCell ref="R86:S86"/>
    <mergeCell ref="T86:U86"/>
    <mergeCell ref="V86:X86"/>
    <mergeCell ref="R88:S88"/>
    <mergeCell ref="T88:U88"/>
    <mergeCell ref="A6:V6"/>
    <mergeCell ref="V80:X80"/>
    <mergeCell ref="R68:S68"/>
    <mergeCell ref="T68:U68"/>
    <mergeCell ref="V68:X68"/>
    <mergeCell ref="R53:S53"/>
    <mergeCell ref="T53:U53"/>
    <mergeCell ref="V53:X53"/>
    <mergeCell ref="M26:P26"/>
    <mergeCell ref="T47:U47"/>
    <mergeCell ref="R47:S47"/>
    <mergeCell ref="V47:X47"/>
    <mergeCell ref="R66:S66"/>
    <mergeCell ref="T66:U66"/>
    <mergeCell ref="V66:X66"/>
    <mergeCell ref="A72:O72"/>
    <mergeCell ref="P72:T73"/>
    <mergeCell ref="R80:S80"/>
    <mergeCell ref="T80:U80"/>
    <mergeCell ref="R67:S67"/>
    <mergeCell ref="T67:U67"/>
    <mergeCell ref="V67:X67"/>
    <mergeCell ref="R65:S65"/>
    <mergeCell ref="T65:U65"/>
    <mergeCell ref="W4:X4"/>
    <mergeCell ref="P1:P2"/>
    <mergeCell ref="Q1:Q2"/>
    <mergeCell ref="R1:R2"/>
    <mergeCell ref="S1:S2"/>
    <mergeCell ref="T1:T2"/>
    <mergeCell ref="U1:U2"/>
    <mergeCell ref="V1:V2"/>
    <mergeCell ref="A5:V5"/>
    <mergeCell ref="V3:V4"/>
    <mergeCell ref="W3:X3"/>
  </mergeCells>
  <pageMargins left="0.88" right="0.70866141732283472" top="0.74803149606299213" bottom="0.74803149606299213" header="0.31496062992125984" footer="0.31496062992125984"/>
  <pageSetup paperSize="5" scale="80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D61"/>
  <sheetViews>
    <sheetView topLeftCell="A22" zoomScale="87" zoomScaleNormal="87" workbookViewId="0">
      <selection activeCell="Y37" sqref="Y37"/>
    </sheetView>
  </sheetViews>
  <sheetFormatPr defaultRowHeight="15"/>
  <cols>
    <col min="1" max="3" width="2.140625" customWidth="1"/>
    <col min="4" max="4" width="5.28515625" customWidth="1"/>
    <col min="5" max="5" width="3" customWidth="1"/>
    <col min="6" max="7" width="2.28515625" customWidth="1"/>
    <col min="8" max="8" width="2" customWidth="1"/>
    <col min="9" max="9" width="2.42578125" customWidth="1"/>
    <col min="10" max="10" width="3.5703125" customWidth="1"/>
    <col min="11" max="11" width="2.5703125" customWidth="1"/>
    <col min="12" max="12" width="3.85546875" customWidth="1"/>
    <col min="13" max="13" width="7" customWidth="1"/>
    <col min="15" max="15" width="7.42578125" customWidth="1"/>
    <col min="16" max="16" width="6.85546875" customWidth="1"/>
    <col min="17" max="17" width="7.5703125" customWidth="1"/>
    <col min="18" max="18" width="5.7109375" customWidth="1"/>
    <col min="19" max="19" width="4.5703125" customWidth="1"/>
    <col min="20" max="20" width="5.140625" customWidth="1"/>
    <col min="21" max="21" width="5" customWidth="1"/>
    <col min="22" max="22" width="5.7109375" customWidth="1"/>
    <col min="23" max="23" width="2.85546875" customWidth="1"/>
    <col min="24" max="24" width="14.85546875" customWidth="1"/>
    <col min="26" max="26" width="18" customWidth="1"/>
    <col min="27" max="27" width="18.140625" customWidth="1"/>
    <col min="28" max="28" width="13.140625" customWidth="1"/>
    <col min="29" max="29" width="13.7109375" customWidth="1"/>
    <col min="30" max="30" width="15.140625" customWidth="1"/>
  </cols>
  <sheetData>
    <row r="1" spans="1:24">
      <c r="A1" s="1386" t="s">
        <v>0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8"/>
      <c r="P1" s="1525" t="s">
        <v>559</v>
      </c>
      <c r="Q1" s="1526" t="s">
        <v>559</v>
      </c>
      <c r="R1" s="1527" t="s">
        <v>157</v>
      </c>
      <c r="S1" s="1527" t="s">
        <v>157</v>
      </c>
      <c r="T1" s="1527" t="s">
        <v>242</v>
      </c>
      <c r="U1" s="1526" t="s">
        <v>158</v>
      </c>
      <c r="V1" s="1528" t="s">
        <v>159</v>
      </c>
      <c r="W1" s="1572"/>
      <c r="X1" s="1573"/>
    </row>
    <row r="2" spans="1:24">
      <c r="A2" s="1389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1"/>
      <c r="P2" s="1521"/>
      <c r="Q2" s="1511"/>
      <c r="R2" s="1511"/>
      <c r="S2" s="1523"/>
      <c r="T2" s="1523"/>
      <c r="U2" s="1511"/>
      <c r="V2" s="1513"/>
      <c r="W2" s="1574" t="s">
        <v>1</v>
      </c>
      <c r="X2" s="1360"/>
    </row>
    <row r="3" spans="1:24">
      <c r="A3" s="1379" t="s">
        <v>2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1"/>
      <c r="P3" s="1521"/>
      <c r="Q3" s="1511"/>
      <c r="R3" s="1523"/>
      <c r="S3" s="1523"/>
      <c r="T3" s="1523"/>
      <c r="U3" s="1511"/>
      <c r="V3" s="1513"/>
      <c r="W3" s="1574"/>
      <c r="X3" s="1360"/>
    </row>
    <row r="4" spans="1:24">
      <c r="A4" s="1382"/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4"/>
      <c r="P4" s="1522"/>
      <c r="Q4" s="1512"/>
      <c r="R4" s="1512"/>
      <c r="S4" s="1524"/>
      <c r="T4" s="1524"/>
      <c r="U4" s="1512"/>
      <c r="V4" s="1514"/>
      <c r="W4" s="1574" t="s">
        <v>1040</v>
      </c>
      <c r="X4" s="1360"/>
    </row>
    <row r="5" spans="1:24" ht="20.25" customHeight="1">
      <c r="A5" s="1583" t="s">
        <v>717</v>
      </c>
      <c r="B5" s="1584"/>
      <c r="C5" s="1584"/>
      <c r="D5" s="1584"/>
      <c r="E5" s="1584"/>
      <c r="F5" s="1584"/>
      <c r="G5" s="1584"/>
      <c r="H5" s="1584"/>
      <c r="I5" s="1584"/>
      <c r="J5" s="1584"/>
      <c r="K5" s="1584"/>
      <c r="L5" s="1584"/>
      <c r="M5" s="1584"/>
      <c r="N5" s="1584"/>
      <c r="O5" s="1584"/>
      <c r="P5" s="1584"/>
      <c r="Q5" s="1584"/>
      <c r="R5" s="1584"/>
      <c r="S5" s="1584"/>
      <c r="T5" s="1584"/>
      <c r="U5" s="1584"/>
      <c r="V5" s="1585"/>
      <c r="W5" s="1164"/>
      <c r="X5" s="1393"/>
    </row>
    <row r="6" spans="1:24" ht="19.5" customHeight="1">
      <c r="A6" s="1586" t="s">
        <v>922</v>
      </c>
      <c r="B6" s="1587"/>
      <c r="C6" s="1587"/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1587"/>
      <c r="S6" s="1587"/>
      <c r="T6" s="1587"/>
      <c r="U6" s="1587"/>
      <c r="V6" s="1588"/>
      <c r="W6" s="850"/>
      <c r="X6" s="851"/>
    </row>
    <row r="7" spans="1:24">
      <c r="A7" s="46" t="s">
        <v>5</v>
      </c>
      <c r="B7" s="66"/>
      <c r="C7" s="66"/>
      <c r="D7" s="66"/>
      <c r="E7" s="66"/>
      <c r="F7" s="66"/>
      <c r="G7" s="66"/>
      <c r="H7" s="66"/>
      <c r="I7" s="66"/>
      <c r="J7" s="66"/>
      <c r="K7" s="66" t="s">
        <v>6</v>
      </c>
      <c r="L7" s="197" t="s">
        <v>528</v>
      </c>
      <c r="M7" s="197"/>
      <c r="N7" s="66"/>
      <c r="O7" s="66"/>
      <c r="P7" s="66" t="s">
        <v>8</v>
      </c>
      <c r="Q7" s="195"/>
      <c r="R7" s="66"/>
      <c r="S7" s="66"/>
      <c r="T7" s="66"/>
      <c r="U7" s="66"/>
      <c r="V7" s="66"/>
      <c r="W7" s="66"/>
      <c r="X7" s="95"/>
    </row>
    <row r="8" spans="1:24">
      <c r="A8" s="46" t="s">
        <v>9</v>
      </c>
      <c r="B8" s="66"/>
      <c r="C8" s="66"/>
      <c r="D8" s="66"/>
      <c r="E8" s="66"/>
      <c r="F8" s="66"/>
      <c r="G8" s="66"/>
      <c r="H8" s="66"/>
      <c r="I8" s="66"/>
      <c r="J8" s="66"/>
      <c r="K8" s="66" t="s">
        <v>6</v>
      </c>
      <c r="L8" s="199" t="s">
        <v>529</v>
      </c>
      <c r="M8" s="199"/>
      <c r="N8" s="66"/>
      <c r="O8" s="66"/>
      <c r="P8" s="66" t="s">
        <v>11</v>
      </c>
      <c r="Q8" s="195"/>
      <c r="R8" s="66"/>
      <c r="S8" s="66"/>
      <c r="T8" s="66"/>
      <c r="U8" s="66"/>
      <c r="V8" s="66"/>
      <c r="W8" s="66"/>
      <c r="X8" s="95"/>
    </row>
    <row r="9" spans="1:24">
      <c r="A9" s="46" t="s">
        <v>162</v>
      </c>
      <c r="B9" s="66"/>
      <c r="C9" s="66"/>
      <c r="D9" s="66"/>
      <c r="E9" s="66"/>
      <c r="F9" s="66"/>
      <c r="G9" s="66"/>
      <c r="H9" s="66"/>
      <c r="I9" s="66"/>
      <c r="J9" s="66"/>
      <c r="K9" s="66" t="s">
        <v>6</v>
      </c>
      <c r="L9" s="197" t="s">
        <v>557</v>
      </c>
      <c r="M9" s="197"/>
      <c r="N9" s="66"/>
      <c r="O9" s="66"/>
      <c r="P9" s="66" t="s">
        <v>163</v>
      </c>
      <c r="Q9" s="195"/>
      <c r="R9" s="66"/>
      <c r="S9" s="66"/>
      <c r="T9" s="66"/>
      <c r="U9" s="66"/>
      <c r="V9" s="66"/>
      <c r="W9" s="66"/>
      <c r="X9" s="95"/>
    </row>
    <row r="10" spans="1:24">
      <c r="A10" s="46" t="s">
        <v>58</v>
      </c>
      <c r="B10" s="66"/>
      <c r="C10" s="66"/>
      <c r="D10" s="66"/>
      <c r="E10" s="66"/>
      <c r="F10" s="66"/>
      <c r="G10" s="66"/>
      <c r="H10" s="66"/>
      <c r="I10" s="66"/>
      <c r="J10" s="66"/>
      <c r="K10" s="66" t="s">
        <v>6</v>
      </c>
      <c r="L10" s="197" t="s">
        <v>561</v>
      </c>
      <c r="M10" s="197"/>
      <c r="N10" s="66"/>
      <c r="O10" s="66"/>
      <c r="P10" s="66" t="s">
        <v>75</v>
      </c>
      <c r="Q10" s="195"/>
      <c r="R10" s="66"/>
      <c r="S10" s="66"/>
      <c r="T10" s="66"/>
      <c r="U10" s="66"/>
      <c r="V10" s="66"/>
      <c r="W10" s="66"/>
      <c r="X10" s="95"/>
    </row>
    <row r="11" spans="1:24">
      <c r="A11" s="46" t="s">
        <v>165</v>
      </c>
      <c r="B11" s="66"/>
      <c r="C11" s="66"/>
      <c r="D11" s="66"/>
      <c r="E11" s="66"/>
      <c r="F11" s="66"/>
      <c r="G11" s="66"/>
      <c r="H11" s="66"/>
      <c r="I11" s="66"/>
      <c r="J11" s="66"/>
      <c r="K11" s="66" t="s">
        <v>6</v>
      </c>
      <c r="L11" s="66" t="s">
        <v>923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95"/>
    </row>
    <row r="12" spans="1:24">
      <c r="A12" s="46" t="s">
        <v>1021</v>
      </c>
      <c r="B12" s="66"/>
      <c r="C12" s="66"/>
      <c r="D12" s="66"/>
      <c r="E12" s="66"/>
      <c r="F12" s="66"/>
      <c r="G12" s="66"/>
      <c r="H12" s="66"/>
      <c r="I12" s="66"/>
      <c r="J12" s="66"/>
      <c r="K12" s="66" t="s">
        <v>6</v>
      </c>
      <c r="L12" s="66" t="s">
        <v>919</v>
      </c>
      <c r="M12" s="66"/>
      <c r="N12" s="66"/>
      <c r="O12" s="66"/>
      <c r="P12" s="66"/>
      <c r="Q12" s="96"/>
      <c r="R12" s="66"/>
      <c r="S12" s="66"/>
      <c r="T12" s="66"/>
      <c r="U12" s="66"/>
      <c r="V12" s="66"/>
      <c r="W12" s="66"/>
      <c r="X12" s="95"/>
    </row>
    <row r="13" spans="1:24">
      <c r="A13" s="46" t="s">
        <v>167</v>
      </c>
      <c r="B13" s="66"/>
      <c r="C13" s="66"/>
      <c r="D13" s="66"/>
      <c r="E13" s="66"/>
      <c r="F13" s="66"/>
      <c r="G13" s="66"/>
      <c r="H13" s="66"/>
      <c r="I13" s="66"/>
      <c r="J13" s="66"/>
      <c r="K13" s="66" t="s">
        <v>6</v>
      </c>
      <c r="L13" s="66" t="s">
        <v>68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95"/>
    </row>
    <row r="14" spans="1:24">
      <c r="A14" s="1563" t="s">
        <v>168</v>
      </c>
      <c r="B14" s="1564"/>
      <c r="C14" s="1564"/>
      <c r="D14" s="1564"/>
      <c r="E14" s="1564"/>
      <c r="F14" s="1564"/>
      <c r="G14" s="1564"/>
      <c r="H14" s="1564"/>
      <c r="I14" s="1564"/>
      <c r="J14" s="1564"/>
      <c r="K14" s="1564"/>
      <c r="L14" s="1564"/>
      <c r="M14" s="1564"/>
      <c r="N14" s="1564"/>
      <c r="O14" s="1564"/>
      <c r="P14" s="1564"/>
      <c r="Q14" s="1564"/>
      <c r="R14" s="1564"/>
      <c r="S14" s="1564"/>
      <c r="T14" s="1564"/>
      <c r="U14" s="1564"/>
      <c r="V14" s="1564"/>
      <c r="W14" s="1564"/>
      <c r="X14" s="1577"/>
    </row>
    <row r="15" spans="1:24">
      <c r="A15" s="1563" t="s">
        <v>169</v>
      </c>
      <c r="B15" s="1564"/>
      <c r="C15" s="1564"/>
      <c r="D15" s="1564"/>
      <c r="E15" s="1564"/>
      <c r="F15" s="1564"/>
      <c r="G15" s="273"/>
      <c r="H15" s="273"/>
      <c r="I15" s="1575" t="s">
        <v>170</v>
      </c>
      <c r="J15" s="1564"/>
      <c r="K15" s="1564"/>
      <c r="L15" s="1564"/>
      <c r="M15" s="1564"/>
      <c r="N15" s="1564"/>
      <c r="O15" s="1564"/>
      <c r="P15" s="1564"/>
      <c r="Q15" s="1564"/>
      <c r="R15" s="1564"/>
      <c r="S15" s="1564"/>
      <c r="T15" s="1576"/>
      <c r="U15" s="1575" t="s">
        <v>171</v>
      </c>
      <c r="V15" s="1564"/>
      <c r="W15" s="1564"/>
      <c r="X15" s="1577"/>
    </row>
    <row r="16" spans="1:24">
      <c r="A16" s="97" t="s">
        <v>172</v>
      </c>
      <c r="B16" s="98"/>
      <c r="C16" s="98"/>
      <c r="D16" s="98"/>
      <c r="E16" s="98"/>
      <c r="F16" s="98"/>
      <c r="G16" s="98"/>
      <c r="H16" s="98"/>
      <c r="I16" s="99" t="s">
        <v>243</v>
      </c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100"/>
      <c r="U16" s="1578">
        <v>1</v>
      </c>
      <c r="V16" s="1579"/>
      <c r="W16" s="1579"/>
      <c r="X16" s="1580"/>
    </row>
    <row r="17" spans="1:30">
      <c r="A17" s="46" t="s">
        <v>174</v>
      </c>
      <c r="B17" s="66"/>
      <c r="C17" s="66"/>
      <c r="D17" s="66"/>
      <c r="E17" s="66"/>
      <c r="F17" s="66"/>
      <c r="G17" s="66"/>
      <c r="H17" s="66"/>
      <c r="I17" s="93" t="s">
        <v>175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101"/>
      <c r="U17" s="102" t="s">
        <v>154</v>
      </c>
      <c r="V17" s="1530">
        <f>V29</f>
        <v>17918600</v>
      </c>
      <c r="W17" s="1530"/>
      <c r="X17" s="1531"/>
    </row>
    <row r="18" spans="1:30">
      <c r="A18" s="46" t="s">
        <v>176</v>
      </c>
      <c r="B18" s="66"/>
      <c r="C18" s="66"/>
      <c r="D18" s="66"/>
      <c r="E18" s="66"/>
      <c r="F18" s="66"/>
      <c r="G18" s="66"/>
      <c r="H18" s="66"/>
      <c r="I18" s="93" t="s">
        <v>244</v>
      </c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101"/>
      <c r="U18" s="1456" t="s">
        <v>178</v>
      </c>
      <c r="V18" s="1359"/>
      <c r="W18" s="1359"/>
      <c r="X18" s="1360"/>
    </row>
    <row r="19" spans="1:30">
      <c r="A19" s="103" t="s">
        <v>179</v>
      </c>
      <c r="B19" s="104"/>
      <c r="C19" s="104"/>
      <c r="D19" s="104"/>
      <c r="E19" s="104"/>
      <c r="F19" s="104"/>
      <c r="G19" s="104"/>
      <c r="H19" s="104"/>
      <c r="I19" s="105" t="s">
        <v>245</v>
      </c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6"/>
      <c r="U19" s="1455" t="s">
        <v>181</v>
      </c>
      <c r="V19" s="1428"/>
      <c r="W19" s="1428"/>
      <c r="X19" s="1582"/>
    </row>
    <row r="20" spans="1:30">
      <c r="A20" s="46" t="s">
        <v>182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6</v>
      </c>
      <c r="M20" s="66" t="s">
        <v>920</v>
      </c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95"/>
    </row>
    <row r="21" spans="1:30">
      <c r="A21" s="1321" t="s">
        <v>718</v>
      </c>
      <c r="B21" s="1322"/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3"/>
    </row>
    <row r="22" spans="1:30">
      <c r="A22" s="1164" t="s">
        <v>719</v>
      </c>
      <c r="B22" s="1165"/>
      <c r="C22" s="1165"/>
      <c r="D22" s="1165"/>
      <c r="E22" s="1165"/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  <c r="R22" s="1165"/>
      <c r="S22" s="1165"/>
      <c r="T22" s="1165"/>
      <c r="U22" s="1165"/>
      <c r="V22" s="1165"/>
      <c r="W22" s="1165"/>
      <c r="X22" s="1393"/>
    </row>
    <row r="23" spans="1:30">
      <c r="A23" s="1568" t="s">
        <v>13</v>
      </c>
      <c r="B23" s="1569"/>
      <c r="C23" s="1569"/>
      <c r="D23" s="1569"/>
      <c r="E23" s="1569"/>
      <c r="F23" s="1569"/>
      <c r="G23" s="1569"/>
      <c r="H23" s="1569"/>
      <c r="I23" s="1569"/>
      <c r="J23" s="1569"/>
      <c r="K23" s="1569"/>
      <c r="L23" s="1570"/>
      <c r="M23" s="1525" t="s">
        <v>14</v>
      </c>
      <c r="N23" s="1526"/>
      <c r="O23" s="1526"/>
      <c r="P23" s="1589"/>
      <c r="Q23" s="1426" t="s">
        <v>121</v>
      </c>
      <c r="R23" s="1569"/>
      <c r="S23" s="1569"/>
      <c r="T23" s="1569"/>
      <c r="U23" s="1569"/>
      <c r="V23" s="1426" t="s">
        <v>15</v>
      </c>
      <c r="W23" s="1569"/>
      <c r="X23" s="1591"/>
    </row>
    <row r="24" spans="1:30">
      <c r="A24" s="1574" t="s">
        <v>16</v>
      </c>
      <c r="B24" s="1359"/>
      <c r="C24" s="1359"/>
      <c r="D24" s="1359"/>
      <c r="E24" s="1359"/>
      <c r="F24" s="1359"/>
      <c r="G24" s="1359"/>
      <c r="H24" s="1359"/>
      <c r="I24" s="1359"/>
      <c r="J24" s="1359"/>
      <c r="K24" s="1359"/>
      <c r="L24" s="1532"/>
      <c r="M24" s="1522"/>
      <c r="N24" s="1512"/>
      <c r="O24" s="1512"/>
      <c r="P24" s="1590"/>
      <c r="Q24" s="107" t="s">
        <v>122</v>
      </c>
      <c r="R24" s="1575" t="s">
        <v>123</v>
      </c>
      <c r="S24" s="1576"/>
      <c r="T24" s="1575" t="s">
        <v>124</v>
      </c>
      <c r="U24" s="1576"/>
      <c r="V24" s="1456" t="s">
        <v>17</v>
      </c>
      <c r="W24" s="1359"/>
      <c r="X24" s="1360"/>
    </row>
    <row r="25" spans="1:30">
      <c r="A25" s="1563">
        <v>1</v>
      </c>
      <c r="B25" s="1564"/>
      <c r="C25" s="1564"/>
      <c r="D25" s="1564"/>
      <c r="E25" s="1564"/>
      <c r="F25" s="1564"/>
      <c r="G25" s="1564"/>
      <c r="H25" s="1564"/>
      <c r="I25" s="1564"/>
      <c r="J25" s="1564"/>
      <c r="K25" s="1564"/>
      <c r="L25" s="1576"/>
      <c r="M25" s="1575">
        <v>2</v>
      </c>
      <c r="N25" s="1564"/>
      <c r="O25" s="1564"/>
      <c r="P25" s="1576"/>
      <c r="Q25" s="107">
        <v>3</v>
      </c>
      <c r="R25" s="1575">
        <v>4</v>
      </c>
      <c r="S25" s="1576"/>
      <c r="T25" s="1575">
        <v>5</v>
      </c>
      <c r="U25" s="1576"/>
      <c r="V25" s="1575" t="s">
        <v>1041</v>
      </c>
      <c r="W25" s="1564"/>
      <c r="X25" s="1577"/>
    </row>
    <row r="26" spans="1:30">
      <c r="A26" s="1548" t="s">
        <v>729</v>
      </c>
      <c r="B26" s="1549"/>
      <c r="C26" s="1549"/>
      <c r="D26" s="1549"/>
      <c r="E26" s="1549"/>
      <c r="F26" s="1549"/>
      <c r="G26" s="1549"/>
      <c r="H26" s="1549"/>
      <c r="I26" s="1549"/>
      <c r="J26" s="1549"/>
      <c r="K26" s="1549"/>
      <c r="L26" s="1550"/>
      <c r="M26" s="1420" t="s">
        <v>551</v>
      </c>
      <c r="N26" s="1420"/>
      <c r="O26" s="1420"/>
      <c r="P26" s="1421"/>
      <c r="Q26" s="362"/>
      <c r="R26" s="362"/>
      <c r="S26" s="364"/>
      <c r="T26" s="361"/>
      <c r="U26" s="361"/>
      <c r="V26" s="1581">
        <f>V27</f>
        <v>17918600</v>
      </c>
      <c r="W26" s="1322"/>
      <c r="X26" s="1323"/>
    </row>
    <row r="27" spans="1:30">
      <c r="A27" s="1354" t="s">
        <v>730</v>
      </c>
      <c r="B27" s="1355"/>
      <c r="C27" s="1355"/>
      <c r="D27" s="1355"/>
      <c r="E27" s="1355"/>
      <c r="F27" s="1355"/>
      <c r="G27" s="1355"/>
      <c r="H27" s="1355"/>
      <c r="I27" s="1355"/>
      <c r="J27" s="1355"/>
      <c r="K27" s="1355"/>
      <c r="L27" s="1356"/>
      <c r="M27" s="83" t="s">
        <v>23</v>
      </c>
      <c r="N27" s="84"/>
      <c r="O27" s="84"/>
      <c r="P27" s="85"/>
      <c r="Q27" s="83"/>
      <c r="R27" s="83"/>
      <c r="S27" s="85"/>
      <c r="T27" s="91"/>
      <c r="U27" s="91"/>
      <c r="V27" s="1468">
        <f>V28</f>
        <v>17918600</v>
      </c>
      <c r="W27" s="1424"/>
      <c r="X27" s="1425"/>
    </row>
    <row r="28" spans="1:30">
      <c r="A28" s="1354" t="s">
        <v>576</v>
      </c>
      <c r="B28" s="1355"/>
      <c r="C28" s="1355"/>
      <c r="D28" s="1355"/>
      <c r="E28" s="1355"/>
      <c r="F28" s="1355"/>
      <c r="G28" s="1355"/>
      <c r="H28" s="1355"/>
      <c r="I28" s="1355"/>
      <c r="J28" s="1355"/>
      <c r="K28" s="1355"/>
      <c r="L28" s="1356"/>
      <c r="M28" s="83" t="s">
        <v>216</v>
      </c>
      <c r="N28" s="84"/>
      <c r="O28" s="84"/>
      <c r="P28" s="85"/>
      <c r="Q28" s="83"/>
      <c r="R28" s="83"/>
      <c r="S28" s="85"/>
      <c r="T28" s="91"/>
      <c r="U28" s="91"/>
      <c r="V28" s="1468">
        <f>V29</f>
        <v>17918600</v>
      </c>
      <c r="W28" s="1424"/>
      <c r="X28" s="1425"/>
      <c r="Z28">
        <f>700-320</f>
        <v>380</v>
      </c>
      <c r="AA28">
        <f>8250000-8249255</f>
        <v>745</v>
      </c>
      <c r="AD28">
        <f>8250000-8249620</f>
        <v>380</v>
      </c>
    </row>
    <row r="29" spans="1:30">
      <c r="A29" s="1354" t="s">
        <v>577</v>
      </c>
      <c r="B29" s="1355"/>
      <c r="C29" s="1355"/>
      <c r="D29" s="1355"/>
      <c r="E29" s="1355"/>
      <c r="F29" s="1355"/>
      <c r="G29" s="1355"/>
      <c r="H29" s="1355"/>
      <c r="I29" s="1355"/>
      <c r="J29" s="1355"/>
      <c r="K29" s="1355"/>
      <c r="L29" s="1356"/>
      <c r="M29" s="83" t="s">
        <v>246</v>
      </c>
      <c r="N29" s="84"/>
      <c r="O29" s="84"/>
      <c r="P29" s="85"/>
      <c r="Q29" s="83"/>
      <c r="R29" s="83"/>
      <c r="S29" s="85"/>
      <c r="T29" s="91"/>
      <c r="U29" s="91"/>
      <c r="V29" s="1468">
        <f>V30+V39</f>
        <v>17918600</v>
      </c>
      <c r="W29" s="1424"/>
      <c r="X29" s="1425"/>
    </row>
    <row r="30" spans="1:30">
      <c r="A30" s="1354" t="s">
        <v>578</v>
      </c>
      <c r="B30" s="1355"/>
      <c r="C30" s="1355"/>
      <c r="D30" s="1355"/>
      <c r="E30" s="1355"/>
      <c r="F30" s="1355"/>
      <c r="G30" s="1355"/>
      <c r="H30" s="1355"/>
      <c r="I30" s="1355"/>
      <c r="J30" s="1355"/>
      <c r="K30" s="1355"/>
      <c r="L30" s="1356"/>
      <c r="M30" s="93" t="s">
        <v>247</v>
      </c>
      <c r="N30" s="66"/>
      <c r="O30" s="66"/>
      <c r="P30" s="101"/>
      <c r="Q30" s="93"/>
      <c r="R30" s="93"/>
      <c r="S30" s="101"/>
      <c r="T30" s="108"/>
      <c r="U30" s="108"/>
      <c r="V30" s="1468">
        <f>SUM(V31:X38)</f>
        <v>10029600</v>
      </c>
      <c r="W30" s="1424"/>
      <c r="X30" s="1425"/>
      <c r="Z30" s="79">
        <f>V30-8250000</f>
        <v>1779600</v>
      </c>
    </row>
    <row r="31" spans="1:30">
      <c r="A31" s="46"/>
      <c r="B31" s="66"/>
      <c r="C31" s="66"/>
      <c r="D31" s="66"/>
      <c r="E31" s="66"/>
      <c r="F31" s="66"/>
      <c r="G31" s="96" t="s">
        <v>248</v>
      </c>
      <c r="H31" s="66"/>
      <c r="I31" s="66"/>
      <c r="J31" s="66"/>
      <c r="K31" s="66"/>
      <c r="L31" s="101"/>
      <c r="M31" s="92" t="s">
        <v>249</v>
      </c>
      <c r="N31" s="66"/>
      <c r="O31" s="66"/>
      <c r="P31" s="101"/>
      <c r="Q31" s="272">
        <v>385</v>
      </c>
      <c r="R31" s="1456" t="s">
        <v>962</v>
      </c>
      <c r="S31" s="1532"/>
      <c r="T31" s="1318">
        <v>500</v>
      </c>
      <c r="U31" s="1562"/>
      <c r="V31" s="1529">
        <f>Q31*T31</f>
        <v>192500</v>
      </c>
      <c r="W31" s="1530"/>
      <c r="X31" s="1531"/>
    </row>
    <row r="32" spans="1:30">
      <c r="A32" s="4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101"/>
      <c r="M32" s="92" t="s">
        <v>251</v>
      </c>
      <c r="N32" s="66"/>
      <c r="O32" s="66"/>
      <c r="P32" s="101"/>
      <c r="Q32" s="272">
        <v>800</v>
      </c>
      <c r="R32" s="1456" t="s">
        <v>254</v>
      </c>
      <c r="S32" s="1532"/>
      <c r="T32" s="1318">
        <v>1000</v>
      </c>
      <c r="U32" s="1562"/>
      <c r="V32" s="1529">
        <f>Q32*T32</f>
        <v>800000</v>
      </c>
      <c r="W32" s="1530"/>
      <c r="X32" s="1531"/>
      <c r="AB32" s="79"/>
    </row>
    <row r="33" spans="1:30">
      <c r="A33" s="4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101"/>
      <c r="M33" s="92" t="s">
        <v>252</v>
      </c>
      <c r="N33" s="66"/>
      <c r="O33" s="66"/>
      <c r="P33" s="101"/>
      <c r="Q33" s="272">
        <v>16</v>
      </c>
      <c r="R33" s="1456" t="s">
        <v>250</v>
      </c>
      <c r="S33" s="1532"/>
      <c r="T33" s="1318">
        <v>38000</v>
      </c>
      <c r="U33" s="1562"/>
      <c r="V33" s="1529">
        <f>Q33*T33</f>
        <v>608000</v>
      </c>
      <c r="W33" s="1530"/>
      <c r="X33" s="1531"/>
      <c r="Z33" s="79">
        <f>V30-10029600</f>
        <v>0</v>
      </c>
      <c r="AA33" s="79"/>
      <c r="AD33" s="332">
        <f>8250000-V30</f>
        <v>-1779600</v>
      </c>
    </row>
    <row r="34" spans="1:30">
      <c r="A34" s="4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101"/>
      <c r="M34" s="92" t="s">
        <v>253</v>
      </c>
      <c r="N34" s="66"/>
      <c r="O34" s="66"/>
      <c r="P34" s="101"/>
      <c r="Q34" s="272">
        <v>2700</v>
      </c>
      <c r="R34" s="1456" t="s">
        <v>221</v>
      </c>
      <c r="S34" s="1532"/>
      <c r="T34" s="1318">
        <v>500</v>
      </c>
      <c r="U34" s="1562"/>
      <c r="V34" s="1529">
        <f>Q34*T34</f>
        <v>1350000</v>
      </c>
      <c r="W34" s="1530"/>
      <c r="X34" s="1531"/>
      <c r="AA34" s="79"/>
    </row>
    <row r="35" spans="1:30">
      <c r="A35" s="4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101"/>
      <c r="M35" s="93" t="s">
        <v>580</v>
      </c>
      <c r="N35" s="66"/>
      <c r="O35" s="66"/>
      <c r="P35" s="101"/>
      <c r="Q35" s="316">
        <v>19</v>
      </c>
      <c r="R35" s="1456" t="s">
        <v>582</v>
      </c>
      <c r="S35" s="1532"/>
      <c r="T35" s="1318">
        <v>71500</v>
      </c>
      <c r="U35" s="1562"/>
      <c r="V35" s="1529">
        <f>Q35*T35</f>
        <v>1358500</v>
      </c>
      <c r="W35" s="1530"/>
      <c r="X35" s="1531"/>
      <c r="AB35" s="79"/>
      <c r="AD35">
        <f>8250000-8249480</f>
        <v>520</v>
      </c>
    </row>
    <row r="36" spans="1:30" ht="30.75" customHeight="1">
      <c r="A36" s="46"/>
      <c r="B36" s="67"/>
      <c r="C36" s="66"/>
      <c r="D36" s="66"/>
      <c r="E36" s="66"/>
      <c r="F36" s="66"/>
      <c r="G36" s="66"/>
      <c r="H36" s="66"/>
      <c r="I36" s="66"/>
      <c r="J36" s="66"/>
      <c r="K36" s="66"/>
      <c r="L36" s="101"/>
      <c r="M36" s="1559" t="s">
        <v>579</v>
      </c>
      <c r="N36" s="1560"/>
      <c r="O36" s="1560"/>
      <c r="P36" s="1561"/>
      <c r="Q36" s="339">
        <v>80</v>
      </c>
      <c r="R36" s="1456" t="s">
        <v>582</v>
      </c>
      <c r="S36" s="1532"/>
      <c r="T36" s="1318">
        <v>71500</v>
      </c>
      <c r="U36" s="1562"/>
      <c r="V36" s="1529">
        <f>T36*Q36</f>
        <v>5720000</v>
      </c>
      <c r="W36" s="1530"/>
      <c r="X36" s="1531"/>
      <c r="Z36" s="79">
        <f>17918600-V27</f>
        <v>0</v>
      </c>
      <c r="AB36" s="79"/>
      <c r="AD36">
        <f>8250000-8249420</f>
        <v>580</v>
      </c>
    </row>
    <row r="37" spans="1:30" ht="15" customHeight="1">
      <c r="A37" s="46"/>
      <c r="B37" s="67"/>
      <c r="C37" s="66"/>
      <c r="D37" s="66"/>
      <c r="E37" s="66"/>
      <c r="F37" s="66"/>
      <c r="G37" s="66"/>
      <c r="H37" s="66"/>
      <c r="I37" s="66"/>
      <c r="J37" s="66"/>
      <c r="K37" s="66"/>
      <c r="L37" s="101"/>
      <c r="M37" s="1571" t="s">
        <v>241</v>
      </c>
      <c r="N37" s="1560"/>
      <c r="O37" s="1560"/>
      <c r="P37" s="1561"/>
      <c r="Q37" s="339"/>
      <c r="R37" s="1456"/>
      <c r="S37" s="1532"/>
      <c r="T37" s="1318"/>
      <c r="U37" s="1562"/>
      <c r="V37" s="1529">
        <v>600</v>
      </c>
      <c r="W37" s="1530"/>
      <c r="X37" s="1531"/>
      <c r="Z37" s="79"/>
      <c r="AB37" s="79"/>
    </row>
    <row r="38" spans="1:30" ht="16.5" customHeight="1">
      <c r="A38" s="46"/>
      <c r="B38" s="67"/>
      <c r="C38" s="66"/>
      <c r="D38" s="66"/>
      <c r="E38" s="66"/>
      <c r="F38" s="66"/>
      <c r="G38" s="66"/>
      <c r="H38" s="66"/>
      <c r="I38" s="66"/>
      <c r="J38" s="66"/>
      <c r="K38" s="66"/>
      <c r="L38" s="101"/>
      <c r="M38" s="1559"/>
      <c r="N38" s="1560"/>
      <c r="O38" s="1560"/>
      <c r="P38" s="1561"/>
      <c r="Q38" s="93"/>
      <c r="R38" s="316"/>
      <c r="S38" s="317"/>
      <c r="T38" s="315"/>
      <c r="U38" s="318"/>
      <c r="V38" s="1529"/>
      <c r="W38" s="1530"/>
      <c r="X38" s="1531"/>
      <c r="Z38" s="79" t="e">
        <f>840000/Z36</f>
        <v>#DIV/0!</v>
      </c>
      <c r="AC38" s="79"/>
    </row>
    <row r="39" spans="1:30">
      <c r="A39" s="1354" t="s">
        <v>581</v>
      </c>
      <c r="B39" s="1355"/>
      <c r="C39" s="1355"/>
      <c r="D39" s="1355"/>
      <c r="E39" s="1355"/>
      <c r="F39" s="1355"/>
      <c r="G39" s="1355"/>
      <c r="H39" s="1355"/>
      <c r="I39" s="1355"/>
      <c r="J39" s="1355"/>
      <c r="K39" s="1355"/>
      <c r="L39" s="1356"/>
      <c r="M39" s="93" t="s">
        <v>255</v>
      </c>
      <c r="N39" s="66"/>
      <c r="O39" s="66"/>
      <c r="P39" s="101"/>
      <c r="Q39" s="93"/>
      <c r="R39" s="93"/>
      <c r="S39" s="101"/>
      <c r="T39" s="1318"/>
      <c r="U39" s="1562"/>
      <c r="V39" s="1468">
        <f>V40+V41</f>
        <v>7889000</v>
      </c>
      <c r="W39" s="1424"/>
      <c r="X39" s="1425"/>
    </row>
    <row r="40" spans="1:30">
      <c r="A40" s="4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101"/>
      <c r="M40" s="92" t="s">
        <v>256</v>
      </c>
      <c r="N40" s="66"/>
      <c r="O40" s="66"/>
      <c r="P40" s="101"/>
      <c r="Q40" s="272">
        <v>31556</v>
      </c>
      <c r="R40" s="1456" t="s">
        <v>254</v>
      </c>
      <c r="S40" s="1532"/>
      <c r="T40" s="1318">
        <v>250</v>
      </c>
      <c r="U40" s="1562"/>
      <c r="V40" s="1529">
        <f>Q40*T40</f>
        <v>7889000</v>
      </c>
      <c r="W40" s="1530"/>
      <c r="X40" s="1531"/>
      <c r="Z40" s="79"/>
    </row>
    <row r="41" spans="1:30">
      <c r="A41" s="4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101"/>
      <c r="M41" s="92"/>
      <c r="N41" s="66"/>
      <c r="O41" s="66"/>
      <c r="P41" s="101"/>
      <c r="Q41" s="93"/>
      <c r="R41" s="93"/>
      <c r="S41" s="101"/>
      <c r="T41" s="108"/>
      <c r="U41" s="108"/>
      <c r="V41" s="1529"/>
      <c r="W41" s="1530"/>
      <c r="X41" s="1531"/>
      <c r="Z41" s="79">
        <f>V40/250</f>
        <v>31556</v>
      </c>
      <c r="AB41">
        <f>8250000-8249620</f>
        <v>380</v>
      </c>
    </row>
    <row r="42" spans="1:30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6"/>
      <c r="M42" s="111"/>
      <c r="N42" s="104"/>
      <c r="O42" s="104"/>
      <c r="P42" s="106"/>
      <c r="Q42" s="105"/>
      <c r="R42" s="105"/>
      <c r="S42" s="106"/>
      <c r="T42" s="112"/>
      <c r="U42" s="112"/>
      <c r="V42" s="109"/>
      <c r="W42" s="108"/>
      <c r="X42" s="110"/>
    </row>
    <row r="43" spans="1:30" ht="15.75" thickBot="1">
      <c r="A43" s="1568"/>
      <c r="B43" s="1569"/>
      <c r="C43" s="1569"/>
      <c r="D43" s="1569"/>
      <c r="E43" s="1569"/>
      <c r="F43" s="1569"/>
      <c r="G43" s="1569"/>
      <c r="H43" s="1569"/>
      <c r="I43" s="1569"/>
      <c r="J43" s="1569"/>
      <c r="K43" s="1569"/>
      <c r="L43" s="1569"/>
      <c r="M43" s="1569"/>
      <c r="N43" s="1569"/>
      <c r="O43" s="1569"/>
      <c r="P43" s="1569"/>
      <c r="Q43" s="1569"/>
      <c r="R43" s="1569"/>
      <c r="S43" s="1569"/>
      <c r="T43" s="1569"/>
      <c r="U43" s="1570"/>
      <c r="V43" s="1565">
        <f>V30+V39</f>
        <v>17918600</v>
      </c>
      <c r="W43" s="1566"/>
      <c r="X43" s="1567"/>
    </row>
    <row r="44" spans="1:30" ht="15.75" thickBot="1">
      <c r="A44" s="847" t="s">
        <v>105</v>
      </c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1432"/>
      <c r="S44" s="1432"/>
      <c r="T44" s="1432"/>
      <c r="U44" s="1432"/>
      <c r="V44" s="1432"/>
      <c r="W44" s="1432"/>
      <c r="X44" s="1433"/>
    </row>
    <row r="45" spans="1:30">
      <c r="A45" s="46" t="s">
        <v>106</v>
      </c>
      <c r="B45" s="66"/>
      <c r="C45" s="66"/>
      <c r="D45" s="66"/>
      <c r="E45" s="66" t="s">
        <v>17</v>
      </c>
      <c r="F45" s="1530">
        <v>4479650</v>
      </c>
      <c r="G45" s="1530"/>
      <c r="H45" s="1530"/>
      <c r="I45" s="1530"/>
      <c r="J45" s="1530"/>
      <c r="K45" s="1530"/>
      <c r="L45" s="1530"/>
      <c r="M45" s="66"/>
      <c r="N45" s="66"/>
      <c r="O45" s="66"/>
      <c r="P45" s="66"/>
      <c r="Q45" s="66"/>
      <c r="R45" s="1146" t="s">
        <v>584</v>
      </c>
      <c r="S45" s="1146"/>
      <c r="T45" s="1146"/>
      <c r="U45" s="1146"/>
      <c r="V45" s="1146"/>
      <c r="W45" s="1146"/>
      <c r="X45" s="1149"/>
    </row>
    <row r="46" spans="1:30">
      <c r="A46" s="46" t="s">
        <v>107</v>
      </c>
      <c r="B46" s="66"/>
      <c r="C46" s="66"/>
      <c r="D46" s="66"/>
      <c r="E46" s="66" t="s">
        <v>17</v>
      </c>
      <c r="F46" s="1530">
        <v>4479650</v>
      </c>
      <c r="G46" s="1530"/>
      <c r="H46" s="1530"/>
      <c r="I46" s="1530"/>
      <c r="J46" s="1530"/>
      <c r="K46" s="1530"/>
      <c r="L46" s="1530"/>
      <c r="M46" s="66"/>
      <c r="N46" s="66"/>
      <c r="O46" s="66"/>
      <c r="P46" s="66"/>
      <c r="Q46" s="66"/>
      <c r="R46" s="1146" t="s">
        <v>585</v>
      </c>
      <c r="S46" s="1146"/>
      <c r="T46" s="1146"/>
      <c r="U46" s="1146"/>
      <c r="V46" s="1146"/>
      <c r="W46" s="1146"/>
      <c r="X46" s="1149"/>
      <c r="Z46">
        <f>V43/4</f>
        <v>4479650</v>
      </c>
    </row>
    <row r="47" spans="1:30">
      <c r="A47" s="46" t="s">
        <v>108</v>
      </c>
      <c r="B47" s="66"/>
      <c r="C47" s="66"/>
      <c r="D47" s="66"/>
      <c r="E47" s="66" t="s">
        <v>17</v>
      </c>
      <c r="F47" s="1530">
        <v>4479650</v>
      </c>
      <c r="G47" s="1530"/>
      <c r="H47" s="1530"/>
      <c r="I47" s="1530"/>
      <c r="J47" s="1530"/>
      <c r="K47" s="1530"/>
      <c r="L47" s="1530"/>
      <c r="M47" s="66"/>
      <c r="N47" s="66"/>
      <c r="O47" s="66"/>
      <c r="P47" s="66"/>
      <c r="Q47" s="66"/>
      <c r="R47" s="195"/>
      <c r="S47" s="195"/>
      <c r="T47" s="816"/>
      <c r="U47" s="816"/>
      <c r="V47" s="816"/>
      <c r="W47" s="816"/>
      <c r="X47" s="2"/>
    </row>
    <row r="48" spans="1:30" ht="16.5">
      <c r="A48" s="46" t="s">
        <v>109</v>
      </c>
      <c r="B48" s="66"/>
      <c r="C48" s="66"/>
      <c r="D48" s="66"/>
      <c r="E48" s="66" t="s">
        <v>17</v>
      </c>
      <c r="F48" s="1547">
        <v>4479650</v>
      </c>
      <c r="G48" s="1547"/>
      <c r="H48" s="1547"/>
      <c r="I48" s="1547"/>
      <c r="J48" s="1547"/>
      <c r="K48" s="1547"/>
      <c r="L48" s="1547"/>
      <c r="M48" s="66"/>
      <c r="N48" s="66"/>
      <c r="O48" s="66"/>
      <c r="P48" s="66"/>
      <c r="Q48" s="66"/>
      <c r="R48" s="195"/>
      <c r="S48" s="195"/>
      <c r="T48" s="195"/>
      <c r="U48" s="195"/>
      <c r="V48" s="195"/>
      <c r="W48" s="195"/>
      <c r="X48" s="2"/>
    </row>
    <row r="49" spans="1:26">
      <c r="A49" s="46" t="s">
        <v>15</v>
      </c>
      <c r="B49" s="66"/>
      <c r="C49" s="66"/>
      <c r="D49" s="66"/>
      <c r="E49" s="66" t="s">
        <v>17</v>
      </c>
      <c r="F49" s="1530">
        <f>SUM(F45:L48)</f>
        <v>17918600</v>
      </c>
      <c r="G49" s="1530"/>
      <c r="H49" s="1530"/>
      <c r="I49" s="1530"/>
      <c r="J49" s="1530"/>
      <c r="K49" s="1530"/>
      <c r="L49" s="1530"/>
      <c r="M49" s="66"/>
      <c r="N49" s="66"/>
      <c r="O49" s="66"/>
      <c r="P49" s="66"/>
      <c r="Q49" s="66"/>
      <c r="R49" s="1357" t="s">
        <v>849</v>
      </c>
      <c r="S49" s="1357"/>
      <c r="T49" s="1357"/>
      <c r="U49" s="1357"/>
      <c r="V49" s="1357"/>
      <c r="W49" s="1357"/>
      <c r="X49" s="1358"/>
      <c r="Z49" s="79">
        <f>V43/4</f>
        <v>4479650</v>
      </c>
    </row>
    <row r="50" spans="1:26">
      <c r="A50" s="4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1359" t="s">
        <v>914</v>
      </c>
      <c r="S50" s="1146"/>
      <c r="T50" s="1146"/>
      <c r="U50" s="1146"/>
      <c r="V50" s="1146"/>
      <c r="W50" s="1146"/>
      <c r="X50" s="1149"/>
    </row>
    <row r="51" spans="1:26">
      <c r="A51" s="4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104"/>
      <c r="R51" s="1428"/>
      <c r="S51" s="1143"/>
      <c r="T51" s="1143"/>
      <c r="U51" s="1143"/>
      <c r="V51" s="1143"/>
      <c r="W51" s="1143"/>
      <c r="X51" s="1144"/>
    </row>
    <row r="52" spans="1:26">
      <c r="A52" s="1563" t="s">
        <v>1034</v>
      </c>
      <c r="B52" s="1564"/>
      <c r="C52" s="1564"/>
      <c r="D52" s="1564"/>
      <c r="E52" s="1564"/>
      <c r="F52" s="1564"/>
      <c r="G52" s="1564"/>
      <c r="H52" s="1564"/>
      <c r="I52" s="1564"/>
      <c r="J52" s="1564"/>
      <c r="K52" s="1564"/>
      <c r="L52" s="1564"/>
      <c r="M52" s="1564"/>
      <c r="N52" s="1564"/>
      <c r="O52" s="1564"/>
      <c r="P52" s="1564"/>
      <c r="Q52" s="104"/>
      <c r="R52" s="1456" t="s">
        <v>921</v>
      </c>
      <c r="S52" s="1146"/>
      <c r="T52" s="1146"/>
      <c r="U52" s="1146"/>
      <c r="V52" s="1146"/>
      <c r="W52" s="1146"/>
      <c r="X52" s="1149"/>
    </row>
    <row r="53" spans="1:26">
      <c r="A53" s="274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66"/>
      <c r="R53" s="313"/>
      <c r="S53" s="312"/>
      <c r="T53" s="312"/>
      <c r="U53" s="312"/>
      <c r="V53" s="312"/>
      <c r="W53" s="312"/>
      <c r="X53" s="314"/>
    </row>
    <row r="54" spans="1:26">
      <c r="A54" s="46">
        <v>1</v>
      </c>
      <c r="B54" s="195" t="s">
        <v>460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 t="s">
        <v>513</v>
      </c>
      <c r="N54" s="66"/>
      <c r="O54" s="66"/>
      <c r="P54" s="66"/>
      <c r="Q54" s="66"/>
      <c r="R54" s="1147" t="s">
        <v>155</v>
      </c>
      <c r="S54" s="1146"/>
      <c r="T54" s="1146"/>
      <c r="U54" s="1146"/>
      <c r="V54" s="1146"/>
      <c r="W54" s="1146"/>
      <c r="X54" s="1149"/>
    </row>
    <row r="55" spans="1:26">
      <c r="A55" s="46"/>
      <c r="B55" t="s">
        <v>1038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1147" t="s">
        <v>114</v>
      </c>
      <c r="S55" s="1146"/>
      <c r="T55" s="1146"/>
      <c r="U55" s="1146"/>
      <c r="V55" s="1146"/>
      <c r="W55" s="1146"/>
      <c r="X55" s="1149"/>
    </row>
    <row r="56" spans="1:26">
      <c r="A56" s="4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35"/>
      <c r="S56" s="195"/>
      <c r="T56" s="195"/>
      <c r="U56" s="195"/>
      <c r="V56" s="195"/>
      <c r="W56" s="195"/>
      <c r="X56" s="2"/>
    </row>
    <row r="57" spans="1:26">
      <c r="A57" s="46">
        <v>2</v>
      </c>
      <c r="B57" s="66" t="s">
        <v>194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 t="s">
        <v>195</v>
      </c>
      <c r="O57" s="66"/>
      <c r="P57" s="66"/>
      <c r="Q57" s="66"/>
      <c r="R57" s="35"/>
      <c r="S57" s="195"/>
      <c r="T57" s="195"/>
      <c r="U57" s="195"/>
      <c r="V57" s="195"/>
      <c r="W57" s="195"/>
      <c r="X57" s="2"/>
    </row>
    <row r="58" spans="1:26">
      <c r="A58" s="46"/>
      <c r="B58" s="849" t="s">
        <v>1039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35"/>
      <c r="S58" s="195"/>
      <c r="T58" s="195"/>
      <c r="U58" s="195"/>
      <c r="V58" s="195"/>
      <c r="W58" s="195"/>
      <c r="X58" s="2"/>
    </row>
    <row r="59" spans="1:26">
      <c r="A59" s="4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1427" t="s">
        <v>115</v>
      </c>
      <c r="S59" s="1357"/>
      <c r="T59" s="1357"/>
      <c r="U59" s="1357"/>
      <c r="V59" s="1357"/>
      <c r="W59" s="1357"/>
      <c r="X59" s="1358"/>
    </row>
    <row r="60" spans="1:26">
      <c r="A60" s="4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1147" t="s">
        <v>116</v>
      </c>
      <c r="S60" s="1146"/>
      <c r="T60" s="1146"/>
      <c r="U60" s="1146"/>
      <c r="V60" s="1146"/>
      <c r="W60" s="1146"/>
      <c r="X60" s="1149"/>
    </row>
    <row r="61" spans="1:26" ht="15.75" thickBot="1">
      <c r="A61" s="113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50"/>
      <c r="S61" s="49"/>
      <c r="T61" s="49"/>
      <c r="U61" s="49"/>
      <c r="V61" s="49"/>
      <c r="W61" s="49"/>
      <c r="X61" s="86"/>
    </row>
  </sheetData>
  <mergeCells count="108">
    <mergeCell ref="V23:X23"/>
    <mergeCell ref="A24:L24"/>
    <mergeCell ref="R24:S24"/>
    <mergeCell ref="R25:S25"/>
    <mergeCell ref="A25:L25"/>
    <mergeCell ref="R33:S33"/>
    <mergeCell ref="T33:U33"/>
    <mergeCell ref="V33:X33"/>
    <mergeCell ref="A26:L26"/>
    <mergeCell ref="M26:P26"/>
    <mergeCell ref="V24:X24"/>
    <mergeCell ref="M25:P25"/>
    <mergeCell ref="V1:V2"/>
    <mergeCell ref="A15:F15"/>
    <mergeCell ref="I15:T15"/>
    <mergeCell ref="U15:X15"/>
    <mergeCell ref="U16:X16"/>
    <mergeCell ref="V17:X17"/>
    <mergeCell ref="R31:S31"/>
    <mergeCell ref="T31:U31"/>
    <mergeCell ref="V31:X31"/>
    <mergeCell ref="T25:U25"/>
    <mergeCell ref="V25:X25"/>
    <mergeCell ref="V26:X26"/>
    <mergeCell ref="U18:X18"/>
    <mergeCell ref="U19:X19"/>
    <mergeCell ref="A21:X21"/>
    <mergeCell ref="A22:X22"/>
    <mergeCell ref="W5:X5"/>
    <mergeCell ref="A5:V5"/>
    <mergeCell ref="A6:V6"/>
    <mergeCell ref="A14:X14"/>
    <mergeCell ref="T24:U24"/>
    <mergeCell ref="A23:L23"/>
    <mergeCell ref="M23:P24"/>
    <mergeCell ref="Q23:U23"/>
    <mergeCell ref="M37:P37"/>
    <mergeCell ref="R37:S37"/>
    <mergeCell ref="T37:U37"/>
    <mergeCell ref="V37:X37"/>
    <mergeCell ref="A1:O2"/>
    <mergeCell ref="W1:X1"/>
    <mergeCell ref="W2:X2"/>
    <mergeCell ref="A3:O4"/>
    <mergeCell ref="P3:P4"/>
    <mergeCell ref="Q3:Q4"/>
    <mergeCell ref="R3:R4"/>
    <mergeCell ref="S3:S4"/>
    <mergeCell ref="T3:T4"/>
    <mergeCell ref="U3:U4"/>
    <mergeCell ref="V3:V4"/>
    <mergeCell ref="W3:X3"/>
    <mergeCell ref="P1:P2"/>
    <mergeCell ref="Q1:Q2"/>
    <mergeCell ref="R1:R2"/>
    <mergeCell ref="S1:S2"/>
    <mergeCell ref="T1:T2"/>
    <mergeCell ref="U1:U2"/>
    <mergeCell ref="W4:X4"/>
    <mergeCell ref="A30:L30"/>
    <mergeCell ref="V43:X43"/>
    <mergeCell ref="V38:X38"/>
    <mergeCell ref="R44:X44"/>
    <mergeCell ref="F45:L45"/>
    <mergeCell ref="R45:X45"/>
    <mergeCell ref="A39:L39"/>
    <mergeCell ref="T39:U39"/>
    <mergeCell ref="V39:X39"/>
    <mergeCell ref="R40:S40"/>
    <mergeCell ref="T40:U40"/>
    <mergeCell ref="V40:X40"/>
    <mergeCell ref="V41:X41"/>
    <mergeCell ref="A43:U43"/>
    <mergeCell ref="M38:P38"/>
    <mergeCell ref="F46:L46"/>
    <mergeCell ref="F47:L47"/>
    <mergeCell ref="F48:L48"/>
    <mergeCell ref="F49:L49"/>
    <mergeCell ref="R49:X49"/>
    <mergeCell ref="R46:X46"/>
    <mergeCell ref="R60:X60"/>
    <mergeCell ref="R51:X51"/>
    <mergeCell ref="A52:P52"/>
    <mergeCell ref="R52:X52"/>
    <mergeCell ref="R54:X54"/>
    <mergeCell ref="R55:X55"/>
    <mergeCell ref="R59:X59"/>
    <mergeCell ref="R50:X50"/>
    <mergeCell ref="M36:P36"/>
    <mergeCell ref="R36:S36"/>
    <mergeCell ref="R35:S35"/>
    <mergeCell ref="T35:U35"/>
    <mergeCell ref="V35:X35"/>
    <mergeCell ref="V29:X29"/>
    <mergeCell ref="A27:L27"/>
    <mergeCell ref="V27:X27"/>
    <mergeCell ref="A28:L28"/>
    <mergeCell ref="V28:X28"/>
    <mergeCell ref="R32:S32"/>
    <mergeCell ref="T32:U32"/>
    <mergeCell ref="V32:X32"/>
    <mergeCell ref="T36:U36"/>
    <mergeCell ref="V36:X36"/>
    <mergeCell ref="V30:X30"/>
    <mergeCell ref="A29:L29"/>
    <mergeCell ref="R34:S34"/>
    <mergeCell ref="T34:U34"/>
    <mergeCell ref="V34:X34"/>
  </mergeCells>
  <pageMargins left="0.33" right="0.21" top="0.75" bottom="0.75" header="0.28999999999999998" footer="0.3"/>
  <pageSetup paperSize="256" scale="85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A61"/>
  <sheetViews>
    <sheetView topLeftCell="A4" workbookViewId="0">
      <selection activeCell="R45" sqref="R45:X45"/>
    </sheetView>
  </sheetViews>
  <sheetFormatPr defaultRowHeight="15"/>
  <cols>
    <col min="1" max="1" width="2.7109375" customWidth="1"/>
    <col min="2" max="2" width="2" customWidth="1"/>
    <col min="3" max="3" width="2.42578125" customWidth="1"/>
    <col min="4" max="4" width="4.140625" customWidth="1"/>
    <col min="5" max="5" width="2.140625" customWidth="1"/>
    <col min="6" max="6" width="2.42578125" customWidth="1"/>
    <col min="7" max="7" width="1.7109375" customWidth="1"/>
    <col min="8" max="8" width="2" customWidth="1"/>
    <col min="9" max="9" width="2.85546875" customWidth="1"/>
    <col min="10" max="10" width="3.85546875" customWidth="1"/>
    <col min="11" max="11" width="1.85546875" customWidth="1"/>
    <col min="12" max="12" width="4.5703125" customWidth="1"/>
    <col min="14" max="14" width="10" customWidth="1"/>
    <col min="15" max="15" width="7" customWidth="1"/>
    <col min="16" max="16" width="5.42578125" customWidth="1"/>
    <col min="17" max="17" width="6.42578125" customWidth="1"/>
    <col min="18" max="18" width="4.85546875" customWidth="1"/>
    <col min="19" max="19" width="4.7109375" customWidth="1"/>
    <col min="20" max="20" width="5" customWidth="1"/>
    <col min="21" max="21" width="4.140625" customWidth="1"/>
    <col min="22" max="22" width="4.42578125" customWidth="1"/>
    <col min="23" max="23" width="4.85546875" customWidth="1"/>
    <col min="24" max="24" width="10.7109375" customWidth="1"/>
    <col min="27" max="27" width="15" customWidth="1"/>
  </cols>
  <sheetData>
    <row r="1" spans="1:24">
      <c r="A1" s="1386" t="s">
        <v>0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8"/>
      <c r="P1" s="830" t="s">
        <v>528</v>
      </c>
      <c r="Q1" s="824">
        <v>3.02</v>
      </c>
      <c r="R1" s="42" t="s">
        <v>157</v>
      </c>
      <c r="S1" s="42" t="s">
        <v>157</v>
      </c>
      <c r="T1" s="42" t="s">
        <v>257</v>
      </c>
      <c r="U1" s="824" t="s">
        <v>158</v>
      </c>
      <c r="V1" s="824" t="s">
        <v>159</v>
      </c>
      <c r="W1" s="1533"/>
      <c r="X1" s="1168"/>
    </row>
    <row r="2" spans="1:24" ht="15.75" customHeight="1">
      <c r="A2" s="1389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1"/>
      <c r="P2" s="822"/>
      <c r="Q2" s="826"/>
      <c r="R2" s="826"/>
      <c r="S2" s="867"/>
      <c r="T2" s="867"/>
      <c r="U2" s="826"/>
      <c r="V2" s="826"/>
      <c r="W2" s="1145" t="s">
        <v>1</v>
      </c>
      <c r="X2" s="1149"/>
    </row>
    <row r="3" spans="1:24" ht="12" customHeight="1">
      <c r="A3" s="1379" t="s">
        <v>2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1"/>
      <c r="P3" s="822"/>
      <c r="Q3" s="826"/>
      <c r="R3" s="867"/>
      <c r="S3" s="867"/>
      <c r="T3" s="867"/>
      <c r="U3" s="826"/>
      <c r="V3" s="826"/>
      <c r="W3" s="1145"/>
      <c r="X3" s="1149"/>
    </row>
    <row r="4" spans="1:24">
      <c r="A4" s="1382"/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4"/>
      <c r="P4" s="829"/>
      <c r="Q4" s="821"/>
      <c r="R4" s="821"/>
      <c r="S4" s="596"/>
      <c r="T4" s="596"/>
      <c r="U4" s="821"/>
      <c r="V4" s="821"/>
      <c r="W4" s="1145" t="s">
        <v>1043</v>
      </c>
      <c r="X4" s="1149"/>
    </row>
    <row r="5" spans="1:24">
      <c r="A5" s="1515" t="s">
        <v>717</v>
      </c>
      <c r="B5" s="1516"/>
      <c r="C5" s="1516"/>
      <c r="D5" s="1516"/>
      <c r="E5" s="1516"/>
      <c r="F5" s="1516"/>
      <c r="G5" s="1516"/>
      <c r="H5" s="1516"/>
      <c r="I5" s="1516"/>
      <c r="J5" s="1516"/>
      <c r="K5" s="1516"/>
      <c r="L5" s="1516"/>
      <c r="M5" s="1516"/>
      <c r="N5" s="1516"/>
      <c r="O5" s="1516"/>
      <c r="P5" s="1516"/>
      <c r="Q5" s="1516"/>
      <c r="R5" s="1516"/>
      <c r="S5" s="1516"/>
      <c r="T5" s="1516"/>
      <c r="U5" s="1516"/>
      <c r="V5" s="1517"/>
      <c r="W5" s="852"/>
      <c r="X5" s="853"/>
    </row>
    <row r="6" spans="1:24">
      <c r="A6" s="1518" t="s">
        <v>922</v>
      </c>
      <c r="B6" s="1519"/>
      <c r="C6" s="1519"/>
      <c r="D6" s="1519"/>
      <c r="E6" s="1519"/>
      <c r="F6" s="1519"/>
      <c r="G6" s="1519"/>
      <c r="H6" s="1519"/>
      <c r="I6" s="1519"/>
      <c r="J6" s="1519"/>
      <c r="K6" s="1519"/>
      <c r="L6" s="1519"/>
      <c r="M6" s="1519"/>
      <c r="N6" s="1519"/>
      <c r="O6" s="1519"/>
      <c r="P6" s="1519"/>
      <c r="Q6" s="1519"/>
      <c r="R6" s="1519"/>
      <c r="S6" s="1519"/>
      <c r="T6" s="1519"/>
      <c r="U6" s="1519"/>
      <c r="V6" s="1520"/>
      <c r="W6" s="850"/>
      <c r="X6" s="851"/>
    </row>
    <row r="7" spans="1:24">
      <c r="A7" s="5" t="s">
        <v>5</v>
      </c>
      <c r="B7" s="195"/>
      <c r="C7" s="195"/>
      <c r="D7" s="195"/>
      <c r="E7" s="195"/>
      <c r="F7" s="195"/>
      <c r="G7" s="195"/>
      <c r="H7" s="195"/>
      <c r="I7" s="195"/>
      <c r="J7" s="195"/>
      <c r="K7" s="195" t="s">
        <v>6</v>
      </c>
      <c r="L7" s="197" t="s">
        <v>528</v>
      </c>
      <c r="M7" s="197"/>
      <c r="N7" s="195"/>
      <c r="O7" s="195"/>
      <c r="P7" s="195" t="s">
        <v>8</v>
      </c>
      <c r="Q7" s="195"/>
      <c r="R7" s="195"/>
      <c r="S7" s="195"/>
      <c r="T7" s="195"/>
      <c r="U7" s="195"/>
      <c r="V7" s="195"/>
      <c r="W7" s="195"/>
      <c r="X7" s="2"/>
    </row>
    <row r="8" spans="1:24">
      <c r="A8" s="5" t="s">
        <v>9</v>
      </c>
      <c r="B8" s="195"/>
      <c r="C8" s="195"/>
      <c r="D8" s="195"/>
      <c r="E8" s="195"/>
      <c r="F8" s="195"/>
      <c r="G8" s="195"/>
      <c r="H8" s="195"/>
      <c r="I8" s="195"/>
      <c r="J8" s="195"/>
      <c r="K8" s="195" t="s">
        <v>6</v>
      </c>
      <c r="L8" s="199" t="s">
        <v>529</v>
      </c>
      <c r="M8" s="199"/>
      <c r="N8" s="195"/>
      <c r="O8" s="195"/>
      <c r="P8" s="195" t="s">
        <v>11</v>
      </c>
      <c r="Q8" s="195"/>
      <c r="R8" s="195"/>
      <c r="S8" s="195"/>
      <c r="T8" s="195"/>
      <c r="U8" s="195"/>
      <c r="V8" s="195"/>
      <c r="W8" s="195"/>
      <c r="X8" s="2"/>
    </row>
    <row r="9" spans="1:24">
      <c r="A9" s="5" t="s">
        <v>162</v>
      </c>
      <c r="B9" s="195"/>
      <c r="C9" s="195"/>
      <c r="D9" s="195"/>
      <c r="E9" s="195"/>
      <c r="F9" s="195"/>
      <c r="G9" s="195"/>
      <c r="H9" s="195"/>
      <c r="I9" s="195"/>
      <c r="J9" s="195"/>
      <c r="K9" s="195" t="s">
        <v>6</v>
      </c>
      <c r="L9" s="197" t="s">
        <v>557</v>
      </c>
      <c r="M9" s="197"/>
      <c r="N9" s="195"/>
      <c r="O9" s="195"/>
      <c r="P9" s="195" t="s">
        <v>163</v>
      </c>
      <c r="Q9" s="195"/>
      <c r="R9" s="195"/>
      <c r="S9" s="195"/>
      <c r="T9" s="195"/>
      <c r="U9" s="195"/>
      <c r="V9" s="195"/>
      <c r="W9" s="195"/>
      <c r="X9" s="2"/>
    </row>
    <row r="10" spans="1:24">
      <c r="A10" s="5" t="s">
        <v>58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 t="s">
        <v>6</v>
      </c>
      <c r="L10" s="197" t="s">
        <v>563</v>
      </c>
      <c r="M10" s="197"/>
      <c r="N10" s="195"/>
      <c r="O10" s="195"/>
      <c r="P10" s="195" t="s">
        <v>258</v>
      </c>
      <c r="Q10" s="195"/>
      <c r="R10" s="195"/>
      <c r="S10" s="195"/>
      <c r="T10" s="195"/>
      <c r="U10" s="195"/>
      <c r="V10" s="195"/>
      <c r="W10" s="195"/>
      <c r="X10" s="2"/>
    </row>
    <row r="11" spans="1:24">
      <c r="A11" s="5" t="s">
        <v>1021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 t="s">
        <v>6</v>
      </c>
      <c r="L11" s="66" t="s">
        <v>919</v>
      </c>
      <c r="M11" s="195"/>
      <c r="N11" s="195"/>
      <c r="O11" s="195"/>
      <c r="P11" s="45" t="s">
        <v>259</v>
      </c>
      <c r="Q11" s="195"/>
      <c r="R11" s="195"/>
      <c r="S11" s="195"/>
      <c r="T11" s="195"/>
      <c r="U11" s="195"/>
      <c r="V11" s="195"/>
      <c r="W11" s="195"/>
      <c r="X11" s="2"/>
    </row>
    <row r="12" spans="1:24">
      <c r="A12" s="5" t="s">
        <v>165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 t="s">
        <v>6</v>
      </c>
      <c r="L12" s="195" t="s">
        <v>923</v>
      </c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2"/>
    </row>
    <row r="13" spans="1:24">
      <c r="A13" s="5" t="s">
        <v>167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 t="s">
        <v>6</v>
      </c>
      <c r="L13" s="195" t="s">
        <v>68</v>
      </c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2"/>
    </row>
    <row r="14" spans="1:24">
      <c r="A14" s="1418" t="s">
        <v>260</v>
      </c>
      <c r="B14" s="1400"/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0"/>
      <c r="U14" s="1400"/>
      <c r="V14" s="1400"/>
      <c r="W14" s="1400"/>
      <c r="X14" s="1405"/>
    </row>
    <row r="15" spans="1:24">
      <c r="A15" s="1418" t="s">
        <v>169</v>
      </c>
      <c r="B15" s="1400"/>
      <c r="C15" s="1400"/>
      <c r="D15" s="1400"/>
      <c r="E15" s="1400"/>
      <c r="F15" s="1400"/>
      <c r="G15" s="194"/>
      <c r="H15" s="194"/>
      <c r="I15" s="1399" t="s">
        <v>170</v>
      </c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3"/>
      <c r="U15" s="1399" t="s">
        <v>171</v>
      </c>
      <c r="V15" s="1400"/>
      <c r="W15" s="1400"/>
      <c r="X15" s="1405"/>
    </row>
    <row r="16" spans="1:24">
      <c r="A16" s="80" t="s">
        <v>172</v>
      </c>
      <c r="B16" s="53"/>
      <c r="C16" s="53"/>
      <c r="D16" s="53"/>
      <c r="E16" s="53"/>
      <c r="F16" s="53"/>
      <c r="G16" s="53"/>
      <c r="H16" s="53"/>
      <c r="I16" s="27" t="s">
        <v>261</v>
      </c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59"/>
      <c r="U16" s="1554">
        <v>1</v>
      </c>
      <c r="V16" s="1555"/>
      <c r="W16" s="1555"/>
      <c r="X16" s="1556"/>
    </row>
    <row r="17" spans="1:24">
      <c r="A17" s="5" t="s">
        <v>174</v>
      </c>
      <c r="B17" s="195"/>
      <c r="C17" s="195"/>
      <c r="D17" s="195"/>
      <c r="E17" s="195"/>
      <c r="F17" s="195"/>
      <c r="G17" s="195"/>
      <c r="H17" s="195"/>
      <c r="I17" s="10" t="s">
        <v>175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36"/>
      <c r="U17" s="87" t="s">
        <v>154</v>
      </c>
      <c r="V17" s="1422">
        <f>V30</f>
        <v>4804400</v>
      </c>
      <c r="W17" s="1422"/>
      <c r="X17" s="1423"/>
    </row>
    <row r="18" spans="1:24">
      <c r="A18" s="5" t="s">
        <v>176</v>
      </c>
      <c r="B18" s="195"/>
      <c r="C18" s="195"/>
      <c r="D18" s="195"/>
      <c r="E18" s="195"/>
      <c r="F18" s="195"/>
      <c r="G18" s="195"/>
      <c r="H18" s="195"/>
      <c r="I18" s="10" t="s">
        <v>262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6"/>
      <c r="U18" s="1147" t="s">
        <v>178</v>
      </c>
      <c r="V18" s="1146"/>
      <c r="W18" s="1146"/>
      <c r="X18" s="1149"/>
    </row>
    <row r="19" spans="1:24">
      <c r="A19" s="68" t="s">
        <v>179</v>
      </c>
      <c r="B19" s="3"/>
      <c r="C19" s="3"/>
      <c r="D19" s="3"/>
      <c r="E19" s="3"/>
      <c r="F19" s="3"/>
      <c r="G19" s="3"/>
      <c r="H19" s="3"/>
      <c r="I19" s="24" t="s">
        <v>263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34"/>
      <c r="U19" s="1336" t="s">
        <v>181</v>
      </c>
      <c r="V19" s="1143"/>
      <c r="W19" s="1143"/>
      <c r="X19" s="1144"/>
    </row>
    <row r="20" spans="1:24">
      <c r="A20" s="5" t="s">
        <v>182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 t="s">
        <v>6</v>
      </c>
      <c r="M20" s="195" t="s">
        <v>920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2"/>
    </row>
    <row r="21" spans="1:24">
      <c r="A21" s="1321" t="s">
        <v>718</v>
      </c>
      <c r="B21" s="1322"/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3"/>
    </row>
    <row r="22" spans="1:24">
      <c r="A22" s="1164" t="s">
        <v>719</v>
      </c>
      <c r="B22" s="1165"/>
      <c r="C22" s="1165"/>
      <c r="D22" s="1165"/>
      <c r="E22" s="1165"/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  <c r="R22" s="1165"/>
      <c r="S22" s="1165"/>
      <c r="T22" s="1165"/>
      <c r="U22" s="1165"/>
      <c r="V22" s="1165"/>
      <c r="W22" s="1165"/>
      <c r="X22" s="1393"/>
    </row>
    <row r="23" spans="1:24">
      <c r="A23" s="1139" t="s">
        <v>13</v>
      </c>
      <c r="B23" s="1140"/>
      <c r="C23" s="1140"/>
      <c r="D23" s="1140"/>
      <c r="E23" s="1140"/>
      <c r="F23" s="1140"/>
      <c r="G23" s="1140"/>
      <c r="H23" s="1140"/>
      <c r="I23" s="1140"/>
      <c r="J23" s="1140"/>
      <c r="K23" s="1140"/>
      <c r="L23" s="1327"/>
      <c r="M23" s="1328" t="s">
        <v>14</v>
      </c>
      <c r="N23" s="1140"/>
      <c r="O23" s="1140"/>
      <c r="P23" s="1327"/>
      <c r="Q23" s="1328" t="s">
        <v>121</v>
      </c>
      <c r="R23" s="1140"/>
      <c r="S23" s="1140"/>
      <c r="T23" s="1140"/>
      <c r="U23" s="1140"/>
      <c r="V23" s="1328" t="s">
        <v>15</v>
      </c>
      <c r="W23" s="1140"/>
      <c r="X23" s="1141"/>
    </row>
    <row r="24" spans="1:24">
      <c r="A24" s="1145" t="s">
        <v>16</v>
      </c>
      <c r="B24" s="1146"/>
      <c r="C24" s="1146"/>
      <c r="D24" s="1146"/>
      <c r="E24" s="1146"/>
      <c r="F24" s="1146"/>
      <c r="G24" s="1146"/>
      <c r="H24" s="1146"/>
      <c r="I24" s="1146"/>
      <c r="J24" s="1146"/>
      <c r="K24" s="1146"/>
      <c r="L24" s="1148"/>
      <c r="M24" s="35"/>
      <c r="N24" s="195"/>
      <c r="O24" s="195"/>
      <c r="P24" s="36"/>
      <c r="Q24" s="40" t="s">
        <v>122</v>
      </c>
      <c r="R24" s="1153" t="s">
        <v>123</v>
      </c>
      <c r="S24" s="1152"/>
      <c r="T24" s="1153" t="s">
        <v>124</v>
      </c>
      <c r="U24" s="1152"/>
      <c r="V24" s="1147" t="s">
        <v>17</v>
      </c>
      <c r="W24" s="1146"/>
      <c r="X24" s="1149"/>
    </row>
    <row r="25" spans="1:24">
      <c r="A25" s="1150">
        <v>1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2"/>
      <c r="M25" s="1153">
        <v>2</v>
      </c>
      <c r="N25" s="1151"/>
      <c r="O25" s="1151"/>
      <c r="P25" s="1152"/>
      <c r="Q25" s="40">
        <v>3</v>
      </c>
      <c r="R25" s="1153">
        <v>4</v>
      </c>
      <c r="S25" s="1152"/>
      <c r="T25" s="1153">
        <v>5</v>
      </c>
      <c r="U25" s="1152"/>
      <c r="V25" s="1153" t="s">
        <v>1041</v>
      </c>
      <c r="W25" s="1151"/>
      <c r="X25" s="1154"/>
    </row>
    <row r="26" spans="1:24">
      <c r="A26" s="1548" t="s">
        <v>731</v>
      </c>
      <c r="B26" s="1549"/>
      <c r="C26" s="1549"/>
      <c r="D26" s="1549"/>
      <c r="E26" s="1549"/>
      <c r="F26" s="1549"/>
      <c r="G26" s="1549"/>
      <c r="H26" s="1549"/>
      <c r="I26" s="1549"/>
      <c r="J26" s="1549"/>
      <c r="K26" s="1549"/>
      <c r="L26" s="1550"/>
      <c r="M26" s="1420" t="s">
        <v>551</v>
      </c>
      <c r="N26" s="1420"/>
      <c r="O26" s="1420"/>
      <c r="P26" s="1421"/>
      <c r="Q26" s="358"/>
      <c r="R26" s="358"/>
      <c r="S26" s="360"/>
      <c r="T26" s="359"/>
      <c r="U26" s="359"/>
      <c r="V26" s="1411">
        <f>V27</f>
        <v>4804400</v>
      </c>
      <c r="W26" s="1412"/>
      <c r="X26" s="1413"/>
    </row>
    <row r="27" spans="1:24">
      <c r="A27" s="1354" t="s">
        <v>732</v>
      </c>
      <c r="B27" s="1355"/>
      <c r="C27" s="1355"/>
      <c r="D27" s="1355"/>
      <c r="E27" s="1355"/>
      <c r="F27" s="1355"/>
      <c r="G27" s="1355"/>
      <c r="H27" s="1355"/>
      <c r="I27" s="1355"/>
      <c r="J27" s="1355"/>
      <c r="K27" s="1355"/>
      <c r="L27" s="1356"/>
      <c r="M27" s="83" t="s">
        <v>23</v>
      </c>
      <c r="N27" s="84"/>
      <c r="O27" s="84"/>
      <c r="P27" s="85"/>
      <c r="Q27" s="83"/>
      <c r="R27" s="83"/>
      <c r="S27" s="85"/>
      <c r="T27" s="91"/>
      <c r="U27" s="91"/>
      <c r="V27" s="1468">
        <f>V28</f>
        <v>4804400</v>
      </c>
      <c r="W27" s="1424"/>
      <c r="X27" s="1425"/>
    </row>
    <row r="28" spans="1:24">
      <c r="A28" s="1354" t="s">
        <v>564</v>
      </c>
      <c r="B28" s="1355"/>
      <c r="C28" s="1355"/>
      <c r="D28" s="1355"/>
      <c r="E28" s="1355"/>
      <c r="F28" s="1355"/>
      <c r="G28" s="1355"/>
      <c r="H28" s="1355"/>
      <c r="I28" s="1355"/>
      <c r="J28" s="1355"/>
      <c r="K28" s="1355"/>
      <c r="L28" s="1356"/>
      <c r="M28" s="83" t="s">
        <v>216</v>
      </c>
      <c r="N28" s="84"/>
      <c r="O28" s="84"/>
      <c r="P28" s="85"/>
      <c r="Q28" s="83"/>
      <c r="R28" s="83"/>
      <c r="S28" s="85"/>
      <c r="T28" s="91"/>
      <c r="U28" s="91"/>
      <c r="V28" s="1468">
        <f>V29</f>
        <v>4804400</v>
      </c>
      <c r="W28" s="1424"/>
      <c r="X28" s="1425"/>
    </row>
    <row r="29" spans="1:24">
      <c r="A29" s="1354" t="s">
        <v>565</v>
      </c>
      <c r="B29" s="1355"/>
      <c r="C29" s="1355"/>
      <c r="D29" s="1355"/>
      <c r="E29" s="1355"/>
      <c r="F29" s="1355"/>
      <c r="G29" s="1355"/>
      <c r="H29" s="1355"/>
      <c r="I29" s="1355"/>
      <c r="J29" s="1355"/>
      <c r="K29" s="1355"/>
      <c r="L29" s="1356"/>
      <c r="M29" s="83" t="s">
        <v>186</v>
      </c>
      <c r="N29" s="84"/>
      <c r="O29" s="84"/>
      <c r="P29" s="85"/>
      <c r="Q29" s="83"/>
      <c r="R29" s="83"/>
      <c r="S29" s="85"/>
      <c r="T29" s="91"/>
      <c r="U29" s="91"/>
      <c r="V29" s="1468">
        <f>V30</f>
        <v>4804400</v>
      </c>
      <c r="W29" s="1424"/>
      <c r="X29" s="1425"/>
    </row>
    <row r="30" spans="1:24">
      <c r="A30" s="1354" t="s">
        <v>566</v>
      </c>
      <c r="B30" s="1355"/>
      <c r="C30" s="1355"/>
      <c r="D30" s="1355"/>
      <c r="E30" s="1355"/>
      <c r="F30" s="1355"/>
      <c r="G30" s="1355"/>
      <c r="H30" s="1355"/>
      <c r="I30" s="1355"/>
      <c r="J30" s="1355"/>
      <c r="K30" s="1355"/>
      <c r="L30" s="1356"/>
      <c r="M30" s="35" t="s">
        <v>264</v>
      </c>
      <c r="N30" s="195"/>
      <c r="O30" s="195"/>
      <c r="P30" s="36"/>
      <c r="Q30" s="35"/>
      <c r="R30" s="35"/>
      <c r="S30" s="36"/>
      <c r="T30" s="60"/>
      <c r="U30" s="60"/>
      <c r="V30" s="1598">
        <f>SUM(V32:X40)</f>
        <v>4804400</v>
      </c>
      <c r="W30" s="1422"/>
      <c r="X30" s="1423"/>
    </row>
    <row r="31" spans="1:24">
      <c r="A31" s="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36"/>
      <c r="M31" s="35" t="s">
        <v>265</v>
      </c>
      <c r="N31" s="195"/>
      <c r="O31" s="195"/>
      <c r="P31" s="36"/>
      <c r="Q31" s="35"/>
      <c r="R31" s="35"/>
      <c r="S31" s="36"/>
      <c r="T31" s="60"/>
      <c r="U31" s="60"/>
      <c r="V31" s="1598"/>
      <c r="W31" s="1422"/>
      <c r="X31" s="1423"/>
    </row>
    <row r="32" spans="1:24">
      <c r="A32" s="5"/>
      <c r="B32" s="61"/>
      <c r="C32" s="45"/>
      <c r="D32" s="61"/>
      <c r="E32" s="61"/>
      <c r="F32" s="61"/>
      <c r="G32" s="61"/>
      <c r="H32" s="61"/>
      <c r="I32" s="45"/>
      <c r="J32" s="45"/>
      <c r="K32" s="57"/>
      <c r="L32" s="62"/>
      <c r="M32" s="92" t="s">
        <v>983</v>
      </c>
      <c r="N32" s="195"/>
      <c r="O32" s="195"/>
      <c r="P32" s="36"/>
      <c r="Q32" s="191">
        <v>33</v>
      </c>
      <c r="R32" s="1147" t="s">
        <v>221</v>
      </c>
      <c r="S32" s="1148"/>
      <c r="T32" s="1349">
        <v>41500</v>
      </c>
      <c r="U32" s="1350"/>
      <c r="V32" s="1598">
        <f t="shared" ref="V32:V38" si="0">Q32*T32</f>
        <v>1369500</v>
      </c>
      <c r="W32" s="1422"/>
      <c r="X32" s="1423"/>
    </row>
    <row r="33" spans="1:27">
      <c r="A33" s="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36"/>
      <c r="M33" s="92" t="s">
        <v>984</v>
      </c>
      <c r="N33" s="195"/>
      <c r="O33" s="195"/>
      <c r="P33" s="36"/>
      <c r="Q33" s="191">
        <v>16</v>
      </c>
      <c r="R33" s="1147" t="s">
        <v>221</v>
      </c>
      <c r="S33" s="1148"/>
      <c r="T33" s="1349">
        <v>67500</v>
      </c>
      <c r="U33" s="1350"/>
      <c r="V33" s="1598">
        <f t="shared" si="0"/>
        <v>1080000</v>
      </c>
      <c r="W33" s="1422"/>
      <c r="X33" s="1423"/>
    </row>
    <row r="34" spans="1:27">
      <c r="A34" s="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36"/>
      <c r="M34" s="63" t="s">
        <v>985</v>
      </c>
      <c r="N34" s="195"/>
      <c r="O34" s="195"/>
      <c r="P34" s="36"/>
      <c r="Q34" s="191">
        <v>40</v>
      </c>
      <c r="R34" s="1147" t="s">
        <v>221</v>
      </c>
      <c r="S34" s="1148"/>
      <c r="T34" s="1349">
        <v>36000</v>
      </c>
      <c r="U34" s="1350"/>
      <c r="V34" s="1598">
        <f t="shared" si="0"/>
        <v>1440000</v>
      </c>
      <c r="W34" s="1422"/>
      <c r="X34" s="1423"/>
    </row>
    <row r="35" spans="1:27">
      <c r="A35" s="5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36"/>
      <c r="M35" s="63" t="s">
        <v>986</v>
      </c>
      <c r="N35" s="195"/>
      <c r="O35" s="195"/>
      <c r="P35" s="36"/>
      <c r="Q35" s="191">
        <v>6</v>
      </c>
      <c r="R35" s="1147" t="s">
        <v>221</v>
      </c>
      <c r="S35" s="1148"/>
      <c r="T35" s="1349">
        <v>12000</v>
      </c>
      <c r="U35" s="1350"/>
      <c r="V35" s="1598">
        <f t="shared" si="0"/>
        <v>72000</v>
      </c>
      <c r="W35" s="1422"/>
      <c r="X35" s="1423"/>
    </row>
    <row r="36" spans="1:27">
      <c r="A36" s="5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36"/>
      <c r="M36" s="63" t="s">
        <v>987</v>
      </c>
      <c r="N36" s="195"/>
      <c r="O36" s="195"/>
      <c r="P36" s="36"/>
      <c r="Q36" s="191">
        <v>50</v>
      </c>
      <c r="R36" s="1147" t="s">
        <v>266</v>
      </c>
      <c r="S36" s="1148"/>
      <c r="T36" s="1349">
        <v>7200</v>
      </c>
      <c r="U36" s="1350"/>
      <c r="V36" s="1598">
        <f t="shared" si="0"/>
        <v>360000</v>
      </c>
      <c r="W36" s="1422"/>
      <c r="X36" s="1423"/>
    </row>
    <row r="37" spans="1:27">
      <c r="A37" s="5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36"/>
      <c r="M37" s="63" t="s">
        <v>519</v>
      </c>
      <c r="N37" s="195"/>
      <c r="O37" s="195"/>
      <c r="P37" s="36"/>
      <c r="Q37" s="191">
        <v>8</v>
      </c>
      <c r="R37" s="1147" t="s">
        <v>221</v>
      </c>
      <c r="S37" s="1148"/>
      <c r="T37" s="1349">
        <v>29000</v>
      </c>
      <c r="U37" s="1350"/>
      <c r="V37" s="1598">
        <f t="shared" si="0"/>
        <v>232000</v>
      </c>
      <c r="W37" s="1422"/>
      <c r="X37" s="1423"/>
    </row>
    <row r="38" spans="1:27">
      <c r="A38" s="5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36"/>
      <c r="M38" s="63" t="s">
        <v>520</v>
      </c>
      <c r="N38" s="195"/>
      <c r="O38" s="195"/>
      <c r="P38" s="36"/>
      <c r="Q38" s="191">
        <v>8</v>
      </c>
      <c r="R38" s="1147" t="s">
        <v>221</v>
      </c>
      <c r="S38" s="1148"/>
      <c r="T38" s="1349">
        <v>26000</v>
      </c>
      <c r="U38" s="1350"/>
      <c r="V38" s="1598">
        <f t="shared" si="0"/>
        <v>208000</v>
      </c>
      <c r="W38" s="1422"/>
      <c r="X38" s="1423"/>
    </row>
    <row r="39" spans="1:27">
      <c r="A39" s="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36"/>
      <c r="M39" s="63" t="s">
        <v>988</v>
      </c>
      <c r="N39" s="195"/>
      <c r="O39" s="195"/>
      <c r="P39" s="36"/>
      <c r="Q39" s="551">
        <v>6</v>
      </c>
      <c r="R39" s="1147" t="s">
        <v>221</v>
      </c>
      <c r="S39" s="1148"/>
      <c r="T39" s="1349">
        <v>6300</v>
      </c>
      <c r="U39" s="1350"/>
      <c r="V39" s="1598">
        <f>Q39*T39</f>
        <v>37800</v>
      </c>
      <c r="W39" s="1422"/>
      <c r="X39" s="1423"/>
    </row>
    <row r="40" spans="1:27">
      <c r="A40" s="5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36"/>
      <c r="M40" s="63" t="s">
        <v>241</v>
      </c>
      <c r="N40" s="195"/>
      <c r="O40" s="195"/>
      <c r="P40" s="36"/>
      <c r="Q40" s="551"/>
      <c r="R40" s="551"/>
      <c r="S40" s="554"/>
      <c r="T40" s="555"/>
      <c r="U40" s="555"/>
      <c r="V40" s="1598">
        <v>5100</v>
      </c>
      <c r="W40" s="1422"/>
      <c r="X40" s="1423"/>
    </row>
    <row r="41" spans="1:27">
      <c r="A41" s="68"/>
      <c r="B41" s="3"/>
      <c r="C41" s="3"/>
      <c r="D41" s="3"/>
      <c r="E41" s="3"/>
      <c r="F41" s="3"/>
      <c r="G41" s="3"/>
      <c r="H41" s="3"/>
      <c r="I41" s="3"/>
      <c r="J41" s="3"/>
      <c r="K41" s="3"/>
      <c r="L41" s="34"/>
      <c r="M41" s="69"/>
      <c r="N41" s="3"/>
      <c r="O41" s="3"/>
      <c r="P41" s="34"/>
      <c r="Q41" s="33"/>
      <c r="R41" s="33"/>
      <c r="S41" s="34"/>
      <c r="T41" s="3"/>
      <c r="U41" s="3"/>
      <c r="V41" s="35"/>
      <c r="W41" s="195"/>
      <c r="X41" s="2"/>
    </row>
    <row r="42" spans="1:27">
      <c r="A42" s="1150" t="s">
        <v>110</v>
      </c>
      <c r="B42" s="1151"/>
      <c r="C42" s="1151"/>
      <c r="D42" s="1151"/>
      <c r="E42" s="1151"/>
      <c r="F42" s="1151"/>
      <c r="G42" s="1151"/>
      <c r="H42" s="1151"/>
      <c r="I42" s="1151"/>
      <c r="J42" s="1151"/>
      <c r="K42" s="1151"/>
      <c r="L42" s="1151"/>
      <c r="M42" s="1151"/>
      <c r="N42" s="1151"/>
      <c r="O42" s="1151"/>
      <c r="P42" s="1151"/>
      <c r="Q42" s="1151"/>
      <c r="R42" s="1151"/>
      <c r="S42" s="1151"/>
      <c r="T42" s="1151"/>
      <c r="U42" s="1152"/>
      <c r="V42" s="1595">
        <f>SUM(V32:X40)</f>
        <v>4804400</v>
      </c>
      <c r="W42" s="1596"/>
      <c r="X42" s="1597"/>
    </row>
    <row r="43" spans="1:27" ht="17.25" customHeight="1" thickBot="1">
      <c r="A43" s="845" t="s">
        <v>105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856"/>
    </row>
    <row r="44" spans="1:27">
      <c r="A44" s="5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146" t="s">
        <v>584</v>
      </c>
      <c r="S44" s="1146"/>
      <c r="T44" s="1146"/>
      <c r="U44" s="1146"/>
      <c r="V44" s="1146"/>
      <c r="W44" s="1146"/>
      <c r="X44" s="1149"/>
    </row>
    <row r="45" spans="1:27">
      <c r="A45" s="5" t="s">
        <v>106</v>
      </c>
      <c r="B45" s="195"/>
      <c r="C45" s="195"/>
      <c r="D45" s="195"/>
      <c r="E45" s="195" t="s">
        <v>6</v>
      </c>
      <c r="F45" s="11" t="s">
        <v>154</v>
      </c>
      <c r="G45" s="11"/>
      <c r="H45" s="1128">
        <v>1201100</v>
      </c>
      <c r="I45" s="1128"/>
      <c r="J45" s="1128"/>
      <c r="K45" s="1128"/>
      <c r="L45" s="1128"/>
      <c r="M45" s="195"/>
      <c r="N45" s="195"/>
      <c r="O45" s="195"/>
      <c r="P45" s="195"/>
      <c r="Q45" s="195"/>
      <c r="R45" s="1146" t="s">
        <v>585</v>
      </c>
      <c r="S45" s="1146"/>
      <c r="T45" s="1146"/>
      <c r="U45" s="1146"/>
      <c r="V45" s="1146"/>
      <c r="W45" s="1146"/>
      <c r="X45" s="1149"/>
    </row>
    <row r="46" spans="1:27">
      <c r="A46" s="5" t="s">
        <v>107</v>
      </c>
      <c r="B46" s="195"/>
      <c r="C46" s="195"/>
      <c r="D46" s="195"/>
      <c r="E46" s="195" t="s">
        <v>6</v>
      </c>
      <c r="F46" s="11" t="s">
        <v>154</v>
      </c>
      <c r="G46" s="11"/>
      <c r="H46" s="1128">
        <v>1201100</v>
      </c>
      <c r="I46" s="1128"/>
      <c r="J46" s="1128"/>
      <c r="K46" s="1128"/>
      <c r="L46" s="1128"/>
      <c r="M46" s="195"/>
      <c r="N46" s="195"/>
      <c r="O46" s="195"/>
      <c r="P46" s="195"/>
      <c r="Q46" s="195"/>
      <c r="R46" s="195"/>
      <c r="S46" s="195"/>
      <c r="T46" s="1146"/>
      <c r="U46" s="1146"/>
      <c r="V46" s="1146"/>
      <c r="W46" s="1146"/>
      <c r="X46" s="2"/>
    </row>
    <row r="47" spans="1:27">
      <c r="A47" s="5" t="s">
        <v>108</v>
      </c>
      <c r="B47" s="195"/>
      <c r="C47" s="195"/>
      <c r="D47" s="195"/>
      <c r="E47" s="195" t="s">
        <v>6</v>
      </c>
      <c r="F47" s="11" t="s">
        <v>154</v>
      </c>
      <c r="G47" s="11"/>
      <c r="H47" s="1128">
        <v>1201100</v>
      </c>
      <c r="I47" s="1128"/>
      <c r="J47" s="1128"/>
      <c r="K47" s="1128"/>
      <c r="L47" s="1128"/>
      <c r="M47" s="195"/>
      <c r="N47" s="195"/>
      <c r="O47" s="195"/>
      <c r="P47" s="195"/>
      <c r="Q47" s="195"/>
      <c r="R47" s="195"/>
      <c r="S47" s="195"/>
      <c r="T47" s="826"/>
      <c r="U47" s="826"/>
      <c r="V47" s="826"/>
      <c r="W47" s="826"/>
      <c r="X47" s="2"/>
      <c r="AA47" s="79">
        <f>V42/4</f>
        <v>1201100</v>
      </c>
    </row>
    <row r="48" spans="1:27" ht="16.5">
      <c r="A48" s="5" t="s">
        <v>109</v>
      </c>
      <c r="B48" s="195"/>
      <c r="C48" s="195"/>
      <c r="D48" s="195"/>
      <c r="E48" s="195" t="s">
        <v>6</v>
      </c>
      <c r="F48" s="15" t="s">
        <v>154</v>
      </c>
      <c r="G48" s="15"/>
      <c r="H48" s="1434">
        <v>1201100</v>
      </c>
      <c r="I48" s="1434"/>
      <c r="J48" s="1434"/>
      <c r="K48" s="1434"/>
      <c r="L48" s="1434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2"/>
    </row>
    <row r="49" spans="1:24">
      <c r="A49" s="5" t="s">
        <v>15</v>
      </c>
      <c r="B49" s="195"/>
      <c r="C49" s="195"/>
      <c r="D49" s="195"/>
      <c r="E49" s="195" t="s">
        <v>6</v>
      </c>
      <c r="F49" s="15" t="s">
        <v>154</v>
      </c>
      <c r="G49" s="15"/>
      <c r="H49" s="1128">
        <f>H48+H47+H46+H45</f>
        <v>4804400</v>
      </c>
      <c r="I49" s="1128"/>
      <c r="J49" s="1128"/>
      <c r="K49" s="1128"/>
      <c r="L49" s="1128"/>
      <c r="M49" s="195"/>
      <c r="N49" s="195"/>
      <c r="O49" s="195"/>
      <c r="P49" s="195"/>
      <c r="Q49" s="195"/>
      <c r="R49" s="1357" t="s">
        <v>849</v>
      </c>
      <c r="S49" s="1357"/>
      <c r="T49" s="1357"/>
      <c r="U49" s="1357"/>
      <c r="V49" s="1357"/>
      <c r="W49" s="1357"/>
      <c r="X49" s="1358"/>
    </row>
    <row r="50" spans="1:24">
      <c r="A50" s="5"/>
      <c r="B50" s="195"/>
      <c r="C50" s="195"/>
      <c r="D50" s="195"/>
      <c r="E50" s="195"/>
      <c r="F50" s="15"/>
      <c r="G50" s="15"/>
      <c r="H50" s="15"/>
      <c r="I50" s="190"/>
      <c r="J50" s="190"/>
      <c r="K50" s="190"/>
      <c r="L50" s="190"/>
      <c r="M50" s="195"/>
      <c r="N50" s="195"/>
      <c r="O50" s="195"/>
      <c r="P50" s="195"/>
      <c r="Q50" s="195"/>
      <c r="R50" s="1359" t="s">
        <v>914</v>
      </c>
      <c r="S50" s="1146"/>
      <c r="T50" s="1146"/>
      <c r="U50" s="1146"/>
      <c r="V50" s="1146"/>
      <c r="W50" s="1146"/>
      <c r="X50" s="1149"/>
    </row>
    <row r="51" spans="1:24">
      <c r="A51" s="68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1428"/>
      <c r="S51" s="1143"/>
      <c r="T51" s="1143"/>
      <c r="U51" s="1143"/>
      <c r="V51" s="1143"/>
      <c r="W51" s="1143"/>
      <c r="X51" s="1144"/>
    </row>
    <row r="52" spans="1:24">
      <c r="A52" s="1592" t="s">
        <v>1018</v>
      </c>
      <c r="B52" s="1593"/>
      <c r="C52" s="1593"/>
      <c r="D52" s="1593"/>
      <c r="E52" s="1593"/>
      <c r="F52" s="1593"/>
      <c r="G52" s="1593"/>
      <c r="H52" s="1593"/>
      <c r="I52" s="1593"/>
      <c r="J52" s="1593"/>
      <c r="K52" s="1593"/>
      <c r="L52" s="1593"/>
      <c r="M52" s="1593"/>
      <c r="N52" s="1593"/>
      <c r="O52" s="1593"/>
      <c r="P52" s="1593"/>
      <c r="Q52" s="1594"/>
      <c r="R52" s="1456" t="s">
        <v>921</v>
      </c>
      <c r="S52" s="1146"/>
      <c r="T52" s="1146"/>
      <c r="U52" s="1146"/>
      <c r="V52" s="1146"/>
      <c r="W52" s="1146"/>
      <c r="X52" s="1149"/>
    </row>
    <row r="53" spans="1:24">
      <c r="A53" s="192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5"/>
      <c r="R53" s="1147" t="s">
        <v>155</v>
      </c>
      <c r="S53" s="1146"/>
      <c r="T53" s="1146"/>
      <c r="U53" s="1146"/>
      <c r="V53" s="1146"/>
      <c r="W53" s="1146"/>
      <c r="X53" s="1149"/>
    </row>
    <row r="54" spans="1:24">
      <c r="A54" s="5">
        <v>1</v>
      </c>
      <c r="B54" t="s">
        <v>460</v>
      </c>
      <c r="C54" s="195"/>
      <c r="D54" s="195"/>
      <c r="E54" s="195"/>
      <c r="F54" s="195"/>
      <c r="G54" s="195"/>
      <c r="H54" s="195"/>
      <c r="I54" s="195"/>
      <c r="J54" s="195"/>
      <c r="K54" s="195" t="s">
        <v>193</v>
      </c>
      <c r="L54" s="195"/>
      <c r="M54" s="195"/>
      <c r="N54" s="195"/>
      <c r="O54" s="195"/>
      <c r="P54" s="195"/>
      <c r="Q54" s="195"/>
      <c r="R54" s="1147" t="s">
        <v>114</v>
      </c>
      <c r="S54" s="1146"/>
      <c r="T54" s="1146"/>
      <c r="U54" s="1146"/>
      <c r="V54" s="1146"/>
      <c r="W54" s="1146"/>
      <c r="X54" s="1149"/>
    </row>
    <row r="55" spans="1:24">
      <c r="A55" s="5"/>
      <c r="B55" t="s">
        <v>1038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35"/>
      <c r="S55" s="195"/>
      <c r="T55" s="195"/>
      <c r="U55" s="195"/>
      <c r="V55" s="195"/>
      <c r="W55" s="195"/>
      <c r="X55" s="2"/>
    </row>
    <row r="56" spans="1:24">
      <c r="A56" s="5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35"/>
      <c r="S56" s="195"/>
      <c r="T56" s="195"/>
      <c r="U56" s="195"/>
      <c r="V56" s="195"/>
      <c r="W56" s="195"/>
      <c r="X56" s="2"/>
    </row>
    <row r="57" spans="1:24">
      <c r="A57" s="5">
        <v>2</v>
      </c>
      <c r="B57" s="195" t="s">
        <v>194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 t="s">
        <v>195</v>
      </c>
      <c r="O57" s="195"/>
      <c r="P57" s="195"/>
      <c r="Q57" s="195"/>
      <c r="R57" s="35"/>
      <c r="S57" s="195"/>
      <c r="T57" s="195"/>
      <c r="U57" s="195"/>
      <c r="V57" s="195"/>
      <c r="W57" s="195"/>
      <c r="X57" s="2"/>
    </row>
    <row r="58" spans="1:24">
      <c r="A58" s="5"/>
      <c r="B58" s="45" t="s">
        <v>1039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427" t="s">
        <v>115</v>
      </c>
      <c r="S58" s="1357"/>
      <c r="T58" s="1357"/>
      <c r="U58" s="1357"/>
      <c r="V58" s="1357"/>
      <c r="W58" s="1357"/>
      <c r="X58" s="1358"/>
    </row>
    <row r="59" spans="1:24">
      <c r="A59" s="5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147" t="s">
        <v>116</v>
      </c>
      <c r="S59" s="1146"/>
      <c r="T59" s="1146"/>
      <c r="U59" s="1146"/>
      <c r="V59" s="1146"/>
      <c r="W59" s="1146"/>
      <c r="X59" s="1149"/>
    </row>
    <row r="60" spans="1:24">
      <c r="A60" s="5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35"/>
      <c r="S60" s="195"/>
      <c r="T60" s="195"/>
      <c r="U60" s="195"/>
      <c r="V60" s="195"/>
      <c r="W60" s="195"/>
      <c r="X60" s="2"/>
    </row>
    <row r="61" spans="1:24" ht="15.75" thickBot="1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50"/>
      <c r="S61" s="49"/>
      <c r="T61" s="49"/>
      <c r="U61" s="49"/>
      <c r="V61" s="49"/>
      <c r="W61" s="49"/>
      <c r="X61" s="86"/>
    </row>
  </sheetData>
  <mergeCells count="87">
    <mergeCell ref="R39:S39"/>
    <mergeCell ref="V39:X39"/>
    <mergeCell ref="T39:U39"/>
    <mergeCell ref="V40:X40"/>
    <mergeCell ref="T46:W46"/>
    <mergeCell ref="A26:L26"/>
    <mergeCell ref="M26:P26"/>
    <mergeCell ref="V26:X26"/>
    <mergeCell ref="U19:X19"/>
    <mergeCell ref="A21:X21"/>
    <mergeCell ref="A22:X22"/>
    <mergeCell ref="T25:U25"/>
    <mergeCell ref="V25:X25"/>
    <mergeCell ref="A23:L23"/>
    <mergeCell ref="M23:P23"/>
    <mergeCell ref="Q23:U23"/>
    <mergeCell ref="V23:X23"/>
    <mergeCell ref="A24:L24"/>
    <mergeCell ref="R24:S24"/>
    <mergeCell ref="T24:U24"/>
    <mergeCell ref="V24:X24"/>
    <mergeCell ref="A25:L25"/>
    <mergeCell ref="M25:P25"/>
    <mergeCell ref="R25:S25"/>
    <mergeCell ref="U16:X16"/>
    <mergeCell ref="V17:X17"/>
    <mergeCell ref="U18:X18"/>
    <mergeCell ref="A1:O2"/>
    <mergeCell ref="W1:X1"/>
    <mergeCell ref="A3:O4"/>
    <mergeCell ref="W3:X3"/>
    <mergeCell ref="W4:X4"/>
    <mergeCell ref="W2:X2"/>
    <mergeCell ref="A14:X14"/>
    <mergeCell ref="A15:F15"/>
    <mergeCell ref="I15:T15"/>
    <mergeCell ref="U15:X15"/>
    <mergeCell ref="A5:V5"/>
    <mergeCell ref="A6:V6"/>
    <mergeCell ref="A30:L30"/>
    <mergeCell ref="V30:X30"/>
    <mergeCell ref="V31:X31"/>
    <mergeCell ref="R32:S32"/>
    <mergeCell ref="T32:U32"/>
    <mergeCell ref="V32:X32"/>
    <mergeCell ref="A27:L27"/>
    <mergeCell ref="V27:X27"/>
    <mergeCell ref="A28:L28"/>
    <mergeCell ref="V28:X28"/>
    <mergeCell ref="A29:L29"/>
    <mergeCell ref="V29:X29"/>
    <mergeCell ref="R33:S33"/>
    <mergeCell ref="T33:U33"/>
    <mergeCell ref="V33:X33"/>
    <mergeCell ref="R34:S34"/>
    <mergeCell ref="T34:U34"/>
    <mergeCell ref="V34:X34"/>
    <mergeCell ref="R35:S35"/>
    <mergeCell ref="T35:U35"/>
    <mergeCell ref="V35:X35"/>
    <mergeCell ref="R38:S38"/>
    <mergeCell ref="T38:U38"/>
    <mergeCell ref="V38:X38"/>
    <mergeCell ref="R36:S36"/>
    <mergeCell ref="T36:U36"/>
    <mergeCell ref="V36:X36"/>
    <mergeCell ref="R37:S37"/>
    <mergeCell ref="T37:U37"/>
    <mergeCell ref="V37:X37"/>
    <mergeCell ref="H48:L48"/>
    <mergeCell ref="A42:U42"/>
    <mergeCell ref="V42:X42"/>
    <mergeCell ref="R44:X44"/>
    <mergeCell ref="H45:L45"/>
    <mergeCell ref="R45:X45"/>
    <mergeCell ref="H46:L46"/>
    <mergeCell ref="H47:L47"/>
    <mergeCell ref="R54:X54"/>
    <mergeCell ref="R59:X59"/>
    <mergeCell ref="H49:L49"/>
    <mergeCell ref="R49:X49"/>
    <mergeCell ref="R50:X50"/>
    <mergeCell ref="R51:X51"/>
    <mergeCell ref="R52:X52"/>
    <mergeCell ref="R53:X53"/>
    <mergeCell ref="R58:X58"/>
    <mergeCell ref="A52:Q52"/>
  </mergeCells>
  <pageMargins left="0.7" right="0.7" top="0.75" bottom="0.75" header="0.3" footer="0.3"/>
  <pageSetup paperSize="256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7"/>
  <sheetViews>
    <sheetView topLeftCell="A19" workbookViewId="0">
      <selection activeCell="X34" sqref="X34"/>
    </sheetView>
  </sheetViews>
  <sheetFormatPr defaultRowHeight="15"/>
  <cols>
    <col min="1" max="1" width="2.85546875" customWidth="1"/>
    <col min="2" max="2" width="4.140625" customWidth="1"/>
    <col min="3" max="3" width="3.42578125" customWidth="1"/>
    <col min="4" max="4" width="3.5703125" customWidth="1"/>
    <col min="5" max="5" width="2.5703125" customWidth="1"/>
    <col min="6" max="6" width="3.140625" customWidth="1"/>
    <col min="7" max="7" width="3.28515625" customWidth="1"/>
    <col min="8" max="8" width="0.5703125" customWidth="1"/>
    <col min="9" max="9" width="2.42578125" customWidth="1"/>
    <col min="10" max="10" width="1.5703125" customWidth="1"/>
    <col min="12" max="12" width="6.42578125" customWidth="1"/>
    <col min="13" max="13" width="6.140625" customWidth="1"/>
    <col min="15" max="15" width="7.85546875" customWidth="1"/>
    <col min="16" max="16" width="8.28515625" customWidth="1"/>
    <col min="17" max="17" width="7.140625" customWidth="1"/>
    <col min="18" max="18" width="8.42578125" customWidth="1"/>
    <col min="19" max="19" width="6.140625" customWidth="1"/>
    <col min="20" max="20" width="8" customWidth="1"/>
    <col min="21" max="21" width="7.85546875" customWidth="1"/>
    <col min="22" max="22" width="9.28515625" customWidth="1"/>
    <col min="25" max="25" width="18.42578125" customWidth="1"/>
  </cols>
  <sheetData>
    <row r="1" spans="1:24">
      <c r="A1" s="1161" t="s">
        <v>0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3"/>
      <c r="U1" s="1167" t="s">
        <v>1</v>
      </c>
      <c r="V1" s="1168"/>
    </row>
    <row r="2" spans="1:24">
      <c r="A2" s="1164"/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165"/>
      <c r="R2" s="1165"/>
      <c r="S2" s="1165"/>
      <c r="T2" s="1166"/>
      <c r="U2" s="195"/>
      <c r="V2" s="2"/>
      <c r="X2" t="s">
        <v>769</v>
      </c>
    </row>
    <row r="3" spans="1:24">
      <c r="A3" s="1169" t="s">
        <v>2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  <c r="N3" s="1170"/>
      <c r="O3" s="1170"/>
      <c r="P3" s="1170"/>
      <c r="Q3" s="1170"/>
      <c r="R3" s="1170"/>
      <c r="S3" s="1170"/>
      <c r="T3" s="1171"/>
      <c r="U3" s="1147" t="s">
        <v>3</v>
      </c>
      <c r="V3" s="1149"/>
    </row>
    <row r="4" spans="1:24">
      <c r="A4" s="1172"/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3"/>
      <c r="P4" s="1173"/>
      <c r="Q4" s="1173"/>
      <c r="R4" s="1173"/>
      <c r="S4" s="1173"/>
      <c r="T4" s="1174"/>
      <c r="U4" s="3"/>
      <c r="V4" s="4"/>
    </row>
    <row r="5" spans="1:24">
      <c r="A5" s="1139" t="s">
        <v>4</v>
      </c>
      <c r="B5" s="1140"/>
      <c r="C5" s="1140"/>
      <c r="D5" s="1140"/>
      <c r="E5" s="1140"/>
      <c r="F5" s="1140"/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1140"/>
      <c r="R5" s="1140"/>
      <c r="S5" s="1140"/>
      <c r="T5" s="1140"/>
      <c r="U5" s="1140"/>
      <c r="V5" s="1141"/>
    </row>
    <row r="6" spans="1:24">
      <c r="A6" s="1142" t="s">
        <v>527</v>
      </c>
      <c r="B6" s="1143"/>
      <c r="C6" s="1143"/>
      <c r="D6" s="1143"/>
      <c r="E6" s="1143"/>
      <c r="F6" s="1143"/>
      <c r="G6" s="1143"/>
      <c r="H6" s="1143"/>
      <c r="I6" s="1143"/>
      <c r="J6" s="1143"/>
      <c r="K6" s="1143"/>
      <c r="L6" s="1143"/>
      <c r="M6" s="1143"/>
      <c r="N6" s="1143"/>
      <c r="O6" s="1143"/>
      <c r="P6" s="1143"/>
      <c r="Q6" s="1143"/>
      <c r="R6" s="1143"/>
      <c r="S6" s="1143"/>
      <c r="T6" s="1143"/>
      <c r="U6" s="1143"/>
      <c r="V6" s="1144"/>
    </row>
    <row r="7" spans="1:24">
      <c r="A7" s="5" t="s">
        <v>5</v>
      </c>
      <c r="B7" s="195"/>
      <c r="C7" s="195"/>
      <c r="D7" s="195"/>
      <c r="E7" s="195"/>
      <c r="F7" s="195"/>
      <c r="G7" s="195"/>
      <c r="H7" s="195"/>
      <c r="I7" s="195" t="s">
        <v>6</v>
      </c>
      <c r="J7" s="195" t="s">
        <v>528</v>
      </c>
      <c r="K7" s="195"/>
      <c r="L7" s="195"/>
      <c r="M7" s="195" t="s">
        <v>8</v>
      </c>
      <c r="N7" s="195"/>
      <c r="O7" s="195"/>
      <c r="P7" s="195"/>
      <c r="Q7" s="195"/>
      <c r="R7" s="195"/>
      <c r="S7" s="195"/>
      <c r="T7" s="195"/>
      <c r="U7" s="195"/>
      <c r="V7" s="2"/>
    </row>
    <row r="8" spans="1:24">
      <c r="A8" s="5" t="s">
        <v>9</v>
      </c>
      <c r="B8" s="195"/>
      <c r="C8" s="195"/>
      <c r="D8" s="195"/>
      <c r="E8" s="195"/>
      <c r="F8" s="195"/>
      <c r="G8" s="195"/>
      <c r="H8" s="195"/>
      <c r="I8" s="195" t="s">
        <v>6</v>
      </c>
      <c r="J8" s="6" t="s">
        <v>539</v>
      </c>
      <c r="K8" s="6"/>
      <c r="L8" s="195"/>
      <c r="M8" s="195" t="s">
        <v>11</v>
      </c>
      <c r="N8" s="195"/>
      <c r="O8" s="195"/>
      <c r="P8" s="195"/>
      <c r="Q8" s="195"/>
      <c r="R8" s="195"/>
      <c r="S8" s="195"/>
      <c r="T8" s="195"/>
      <c r="U8" s="195"/>
      <c r="V8" s="2"/>
    </row>
    <row r="9" spans="1:24">
      <c r="A9" s="1139" t="s">
        <v>12</v>
      </c>
      <c r="B9" s="1140"/>
      <c r="C9" s="1140"/>
      <c r="D9" s="1140"/>
      <c r="E9" s="1140"/>
      <c r="F9" s="1140"/>
      <c r="G9" s="1140"/>
      <c r="H9" s="1140"/>
      <c r="I9" s="1140"/>
      <c r="J9" s="1140"/>
      <c r="K9" s="1140"/>
      <c r="L9" s="1140"/>
      <c r="M9" s="1140"/>
      <c r="N9" s="1140"/>
      <c r="O9" s="1140"/>
      <c r="P9" s="1140"/>
      <c r="Q9" s="1140"/>
      <c r="R9" s="1140"/>
      <c r="S9" s="1140"/>
      <c r="T9" s="1140"/>
      <c r="U9" s="1140"/>
      <c r="V9" s="1141"/>
    </row>
    <row r="10" spans="1:24">
      <c r="A10" s="1142" t="s">
        <v>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43"/>
      <c r="U10" s="1143"/>
      <c r="V10" s="1144"/>
    </row>
    <row r="11" spans="1:24">
      <c r="A11" s="1145" t="s">
        <v>13</v>
      </c>
      <c r="B11" s="1146"/>
      <c r="C11" s="1146"/>
      <c r="D11" s="1146"/>
      <c r="E11" s="1146"/>
      <c r="F11" s="1146"/>
      <c r="G11" s="1146"/>
      <c r="H11" s="1146"/>
      <c r="I11" s="1146"/>
      <c r="J11" s="1146"/>
      <c r="K11" s="1147" t="s">
        <v>14</v>
      </c>
      <c r="L11" s="1146"/>
      <c r="M11" s="1146"/>
      <c r="N11" s="1146"/>
      <c r="O11" s="1146"/>
      <c r="P11" s="1146"/>
      <c r="Q11" s="1146"/>
      <c r="R11" s="1146"/>
      <c r="S11" s="1148"/>
      <c r="T11" s="1147" t="s">
        <v>15</v>
      </c>
      <c r="U11" s="1146"/>
      <c r="V11" s="1149"/>
    </row>
    <row r="12" spans="1:24">
      <c r="A12" s="1145" t="s">
        <v>16</v>
      </c>
      <c r="B12" s="1146"/>
      <c r="C12" s="1146"/>
      <c r="D12" s="1146"/>
      <c r="E12" s="1146"/>
      <c r="F12" s="1146"/>
      <c r="G12" s="1146"/>
      <c r="H12" s="1146"/>
      <c r="I12" s="1146"/>
      <c r="J12" s="1146"/>
      <c r="K12" s="7"/>
      <c r="L12" s="8"/>
      <c r="M12" s="8"/>
      <c r="N12" s="8"/>
      <c r="O12" s="8"/>
      <c r="P12" s="8"/>
      <c r="Q12" s="8"/>
      <c r="R12" s="8"/>
      <c r="S12" s="9"/>
      <c r="T12" s="1147" t="s">
        <v>17</v>
      </c>
      <c r="U12" s="1146"/>
      <c r="V12" s="1149"/>
    </row>
    <row r="13" spans="1:24">
      <c r="A13" s="1150">
        <v>1</v>
      </c>
      <c r="B13" s="1151"/>
      <c r="C13" s="1151"/>
      <c r="D13" s="1151"/>
      <c r="E13" s="1151"/>
      <c r="F13" s="1151"/>
      <c r="G13" s="1151"/>
      <c r="H13" s="1151"/>
      <c r="I13" s="1151"/>
      <c r="J13" s="1152"/>
      <c r="K13" s="1153">
        <v>2</v>
      </c>
      <c r="L13" s="1151"/>
      <c r="M13" s="1151"/>
      <c r="N13" s="1151"/>
      <c r="O13" s="1151"/>
      <c r="P13" s="1151"/>
      <c r="Q13" s="1151"/>
      <c r="R13" s="1151"/>
      <c r="S13" s="1152"/>
      <c r="T13" s="1153">
        <v>6</v>
      </c>
      <c r="U13" s="1151"/>
      <c r="V13" s="1154"/>
    </row>
    <row r="14" spans="1:24">
      <c r="A14" s="1155"/>
      <c r="B14" s="1156"/>
      <c r="C14" s="1156"/>
      <c r="D14" s="1156"/>
      <c r="E14" s="1156"/>
      <c r="F14" s="1156"/>
      <c r="G14" s="1156"/>
      <c r="H14" s="1156"/>
      <c r="I14" s="1156"/>
      <c r="J14" s="1157"/>
      <c r="K14" s="10"/>
      <c r="L14" s="11"/>
      <c r="M14" s="11"/>
      <c r="N14" s="11"/>
      <c r="O14" s="11"/>
      <c r="P14" s="11"/>
      <c r="Q14" s="11"/>
      <c r="R14" s="12"/>
      <c r="S14" s="12"/>
      <c r="T14" s="1158"/>
      <c r="U14" s="1159"/>
      <c r="V14" s="1160"/>
    </row>
    <row r="15" spans="1:24">
      <c r="A15" s="13" t="s">
        <v>540</v>
      </c>
      <c r="B15" s="14"/>
      <c r="C15" s="15"/>
      <c r="D15" s="14"/>
      <c r="E15" s="14"/>
      <c r="F15" s="15"/>
      <c r="G15" s="15"/>
      <c r="H15" s="15"/>
      <c r="I15" s="16"/>
      <c r="J15" s="17"/>
      <c r="K15" s="211" t="s">
        <v>541</v>
      </c>
      <c r="L15" s="11"/>
      <c r="M15" s="11"/>
      <c r="N15" s="11"/>
      <c r="O15" s="11"/>
      <c r="P15" s="11"/>
      <c r="Q15" s="11"/>
      <c r="R15" s="12"/>
      <c r="S15" s="12"/>
      <c r="T15" s="1136">
        <v>3713000000</v>
      </c>
      <c r="U15" s="1137"/>
      <c r="V15" s="1138"/>
    </row>
    <row r="16" spans="1:24">
      <c r="A16" s="13" t="s">
        <v>542</v>
      </c>
      <c r="B16" s="14"/>
      <c r="C16" s="15"/>
      <c r="D16" s="14"/>
      <c r="E16" s="14"/>
      <c r="F16" s="15"/>
      <c r="G16" s="15"/>
      <c r="H16" s="15"/>
      <c r="I16" s="16"/>
      <c r="J16" s="17"/>
      <c r="K16" s="211" t="s">
        <v>543</v>
      </c>
      <c r="L16" s="11"/>
      <c r="M16" s="11"/>
      <c r="N16" s="11"/>
      <c r="O16" s="11"/>
      <c r="P16" s="11"/>
      <c r="Q16" s="11"/>
      <c r="R16" s="12"/>
      <c r="S16" s="12"/>
      <c r="T16" s="1136">
        <f>T15</f>
        <v>3713000000</v>
      </c>
      <c r="U16" s="1137"/>
      <c r="V16" s="1138"/>
    </row>
    <row r="17" spans="1:25">
      <c r="A17" s="13" t="s">
        <v>544</v>
      </c>
      <c r="B17" s="14"/>
      <c r="C17" s="15"/>
      <c r="D17" s="14"/>
      <c r="E17" s="14"/>
      <c r="F17" s="15"/>
      <c r="G17" s="15"/>
      <c r="H17" s="15"/>
      <c r="I17" s="16"/>
      <c r="J17" s="17"/>
      <c r="K17" s="10" t="s">
        <v>545</v>
      </c>
      <c r="L17" s="11"/>
      <c r="M17" s="11"/>
      <c r="N17" s="11"/>
      <c r="O17" s="11"/>
      <c r="P17" s="11"/>
      <c r="Q17" s="11"/>
      <c r="R17" s="12"/>
      <c r="S17" s="12"/>
      <c r="T17" s="1111">
        <f>T16</f>
        <v>3713000000</v>
      </c>
      <c r="U17" s="1128"/>
      <c r="V17" s="1129"/>
    </row>
    <row r="18" spans="1:25">
      <c r="A18" s="13" t="s">
        <v>546</v>
      </c>
      <c r="B18" s="14"/>
      <c r="C18" s="15"/>
      <c r="D18" s="14"/>
      <c r="E18" s="14"/>
      <c r="F18" s="15"/>
      <c r="G18" s="15"/>
      <c r="H18" s="15"/>
      <c r="I18" s="16"/>
      <c r="J18" s="17"/>
      <c r="K18" s="10" t="s">
        <v>547</v>
      </c>
      <c r="L18" s="11"/>
      <c r="M18" s="11"/>
      <c r="N18" s="11"/>
      <c r="O18" s="11"/>
      <c r="P18" s="11"/>
      <c r="Q18" s="11"/>
      <c r="R18" s="12"/>
      <c r="S18" s="12"/>
      <c r="T18" s="1111">
        <f>T17</f>
        <v>3713000000</v>
      </c>
      <c r="U18" s="1128"/>
      <c r="V18" s="1129"/>
    </row>
    <row r="19" spans="1:25">
      <c r="A19" s="13"/>
      <c r="B19" s="14"/>
      <c r="C19" s="15"/>
      <c r="D19" s="14"/>
      <c r="E19" s="14"/>
      <c r="F19" s="15"/>
      <c r="G19" s="15"/>
      <c r="H19" s="15"/>
      <c r="I19" s="16"/>
      <c r="J19" s="17"/>
      <c r="K19" s="10"/>
      <c r="L19" s="11"/>
      <c r="M19" s="11"/>
      <c r="N19" s="11"/>
      <c r="O19" s="11"/>
      <c r="P19" s="11"/>
      <c r="Q19" s="11"/>
      <c r="R19" s="12"/>
      <c r="S19" s="12"/>
      <c r="T19" s="373"/>
      <c r="U19" s="375"/>
      <c r="V19" s="374"/>
    </row>
    <row r="20" spans="1:25">
      <c r="A20" s="1109" t="s">
        <v>548</v>
      </c>
      <c r="B20" s="1105"/>
      <c r="C20" s="1105"/>
      <c r="D20" s="1105"/>
      <c r="E20" s="1105"/>
      <c r="F20" s="1105"/>
      <c r="G20" s="1105"/>
      <c r="H20" s="1105"/>
      <c r="I20" s="1105"/>
      <c r="J20" s="1110"/>
      <c r="K20" s="211" t="s">
        <v>551</v>
      </c>
      <c r="L20" s="11"/>
      <c r="M20" s="11"/>
      <c r="N20" s="11"/>
      <c r="O20" s="11"/>
      <c r="P20" s="11"/>
      <c r="Q20" s="11"/>
      <c r="R20" s="12"/>
      <c r="S20" s="12"/>
      <c r="T20" s="1136">
        <f>T21+T24</f>
        <v>9235629000</v>
      </c>
      <c r="U20" s="1137"/>
      <c r="V20" s="1138"/>
    </row>
    <row r="21" spans="1:25">
      <c r="A21" s="1109" t="s">
        <v>549</v>
      </c>
      <c r="B21" s="1105"/>
      <c r="C21" s="1105"/>
      <c r="D21" s="1105"/>
      <c r="E21" s="1105"/>
      <c r="F21" s="1105"/>
      <c r="G21" s="1105"/>
      <c r="H21" s="1105"/>
      <c r="I21" s="1105"/>
      <c r="J21" s="1110"/>
      <c r="K21" s="211" t="s">
        <v>20</v>
      </c>
      <c r="L21" s="212"/>
      <c r="M21" s="212"/>
      <c r="N21" s="11"/>
      <c r="O21" s="11"/>
      <c r="P21" s="11"/>
      <c r="Q21" s="11"/>
      <c r="R21" s="12"/>
      <c r="S21" s="12"/>
      <c r="T21" s="1136">
        <v>3731019000</v>
      </c>
      <c r="U21" s="1137"/>
      <c r="V21" s="1138"/>
    </row>
    <row r="22" spans="1:25">
      <c r="A22" s="1109" t="s">
        <v>550</v>
      </c>
      <c r="B22" s="1105"/>
      <c r="C22" s="1105"/>
      <c r="D22" s="1105"/>
      <c r="E22" s="1105"/>
      <c r="F22" s="1105"/>
      <c r="G22" s="1105"/>
      <c r="H22" s="1105"/>
      <c r="I22" s="1105"/>
      <c r="J22" s="1110"/>
      <c r="K22" s="10" t="s">
        <v>22</v>
      </c>
      <c r="L22" s="11"/>
      <c r="M22" s="11"/>
      <c r="N22" s="11"/>
      <c r="O22" s="11"/>
      <c r="P22" s="11"/>
      <c r="Q22" s="11"/>
      <c r="R22" s="12"/>
      <c r="S22" s="12"/>
      <c r="T22" s="1111">
        <f>T21</f>
        <v>3731019000</v>
      </c>
      <c r="U22" s="1128"/>
      <c r="V22" s="1129"/>
    </row>
    <row r="23" spans="1:25">
      <c r="A23" s="13"/>
      <c r="B23" s="11"/>
      <c r="C23" s="11"/>
      <c r="D23" s="11"/>
      <c r="E23" s="11"/>
      <c r="F23" s="11"/>
      <c r="G23" s="11"/>
      <c r="H23" s="11"/>
      <c r="I23" s="11"/>
      <c r="J23" s="18"/>
      <c r="K23" s="19"/>
      <c r="L23" s="11"/>
      <c r="M23" s="11"/>
      <c r="N23" s="11"/>
      <c r="O23" s="11"/>
      <c r="P23" s="11"/>
      <c r="Q23" s="11"/>
      <c r="R23" s="12"/>
      <c r="S23" s="12"/>
      <c r="T23" s="1111"/>
      <c r="U23" s="1128"/>
      <c r="V23" s="1129"/>
    </row>
    <row r="24" spans="1:25">
      <c r="A24" s="1109" t="s">
        <v>552</v>
      </c>
      <c r="B24" s="1105"/>
      <c r="C24" s="1105"/>
      <c r="D24" s="1105"/>
      <c r="E24" s="1105"/>
      <c r="F24" s="1105"/>
      <c r="G24" s="1105"/>
      <c r="H24" s="1105"/>
      <c r="I24" s="1105"/>
      <c r="J24" s="1110"/>
      <c r="K24" s="211" t="s">
        <v>23</v>
      </c>
      <c r="L24" s="11"/>
      <c r="M24" s="11"/>
      <c r="N24" s="11"/>
      <c r="O24" s="11"/>
      <c r="P24" s="11"/>
      <c r="Q24" s="11"/>
      <c r="R24" s="12"/>
      <c r="S24" s="12"/>
      <c r="T24" s="1136">
        <f>T25+T26+T27</f>
        <v>5504610000</v>
      </c>
      <c r="U24" s="1137"/>
      <c r="V24" s="1138"/>
    </row>
    <row r="25" spans="1:25">
      <c r="A25" s="1109" t="s">
        <v>767</v>
      </c>
      <c r="B25" s="1105"/>
      <c r="C25" s="1105"/>
      <c r="D25" s="1105"/>
      <c r="E25" s="1105"/>
      <c r="F25" s="1105"/>
      <c r="G25" s="1105"/>
      <c r="H25" s="1105"/>
      <c r="I25" s="1105"/>
      <c r="J25" s="1110"/>
      <c r="K25" s="10" t="s">
        <v>22</v>
      </c>
      <c r="L25" s="11"/>
      <c r="M25" s="11"/>
      <c r="N25" s="11"/>
      <c r="O25" s="11"/>
      <c r="P25" s="11"/>
      <c r="Q25" s="11"/>
      <c r="R25" s="12"/>
      <c r="S25" s="12"/>
      <c r="T25" s="1111">
        <v>129665000</v>
      </c>
      <c r="U25" s="1128"/>
      <c r="V25" s="1129"/>
      <c r="Y25" s="79">
        <f>T24-1320544150</f>
        <v>4184065850</v>
      </c>
    </row>
    <row r="26" spans="1:25">
      <c r="A26" s="1109" t="s">
        <v>553</v>
      </c>
      <c r="B26" s="1105"/>
      <c r="C26" s="1105"/>
      <c r="D26" s="1105"/>
      <c r="E26" s="1105"/>
      <c r="F26" s="1105"/>
      <c r="G26" s="1105"/>
      <c r="H26" s="1105"/>
      <c r="I26" s="1105"/>
      <c r="J26" s="1110"/>
      <c r="K26" s="10" t="s">
        <v>24</v>
      </c>
      <c r="L26" s="11"/>
      <c r="M26" s="11"/>
      <c r="N26" s="11"/>
      <c r="O26" s="11"/>
      <c r="P26" s="11"/>
      <c r="Q26" s="11"/>
      <c r="R26" s="12"/>
      <c r="S26" s="12"/>
      <c r="T26" s="1111">
        <v>2847250000</v>
      </c>
      <c r="U26" s="1128"/>
      <c r="V26" s="1129"/>
    </row>
    <row r="27" spans="1:25">
      <c r="A27" s="1109" t="s">
        <v>25</v>
      </c>
      <c r="B27" s="1105"/>
      <c r="C27" s="1105"/>
      <c r="D27" s="1105"/>
      <c r="E27" s="1105"/>
      <c r="F27" s="1105"/>
      <c r="G27" s="1105"/>
      <c r="H27" s="1105"/>
      <c r="I27" s="1105"/>
      <c r="J27" s="1110"/>
      <c r="K27" s="10" t="s">
        <v>26</v>
      </c>
      <c r="L27" s="11"/>
      <c r="M27" s="11"/>
      <c r="N27" s="11"/>
      <c r="O27" s="11"/>
      <c r="P27" s="11"/>
      <c r="Q27" s="11"/>
      <c r="R27" s="12"/>
      <c r="S27" s="12"/>
      <c r="T27" s="1111">
        <f>7527695000-5000000000</f>
        <v>2527695000</v>
      </c>
      <c r="U27" s="1128"/>
      <c r="V27" s="1129"/>
      <c r="Y27" s="79">
        <f>T25+T26</f>
        <v>2976915000</v>
      </c>
    </row>
    <row r="28" spans="1:25">
      <c r="A28" s="13"/>
      <c r="B28" s="14"/>
      <c r="C28" s="15"/>
      <c r="D28" s="14"/>
      <c r="E28" s="14"/>
      <c r="F28" s="15"/>
      <c r="G28" s="15"/>
      <c r="H28" s="15"/>
      <c r="I28" s="16"/>
      <c r="J28" s="17"/>
      <c r="K28" s="10"/>
      <c r="L28" s="11"/>
      <c r="M28" s="11"/>
      <c r="N28" s="11"/>
      <c r="O28" s="11"/>
      <c r="P28" s="11"/>
      <c r="Q28" s="11"/>
      <c r="R28" s="12"/>
      <c r="S28" s="12"/>
      <c r="T28" s="1111"/>
      <c r="U28" s="1128"/>
      <c r="V28" s="1129"/>
      <c r="Y28" s="79">
        <f>T27+Y27</f>
        <v>5504610000</v>
      </c>
    </row>
    <row r="29" spans="1:25">
      <c r="A29" s="13"/>
      <c r="B29" s="11"/>
      <c r="C29" s="11"/>
      <c r="D29" s="11"/>
      <c r="E29" s="11"/>
      <c r="F29" s="11"/>
      <c r="G29" s="11"/>
      <c r="H29" s="11"/>
      <c r="I29" s="11"/>
      <c r="J29" s="18"/>
      <c r="K29" s="10"/>
      <c r="L29" s="11"/>
      <c r="M29" s="11"/>
      <c r="N29" s="11"/>
      <c r="O29" s="11"/>
      <c r="P29" s="11"/>
      <c r="Q29" s="11"/>
      <c r="R29" s="12"/>
      <c r="S29" s="12"/>
      <c r="T29" s="1111"/>
      <c r="U29" s="1128"/>
      <c r="V29" s="1129"/>
    </row>
    <row r="30" spans="1:25">
      <c r="A30" s="13"/>
      <c r="B30" s="11"/>
      <c r="C30" s="11"/>
      <c r="D30" s="11"/>
      <c r="E30" s="11"/>
      <c r="F30" s="11"/>
      <c r="G30" s="11"/>
      <c r="H30" s="11"/>
      <c r="I30" s="11"/>
      <c r="J30" s="18"/>
      <c r="K30" s="10"/>
      <c r="L30" s="11"/>
      <c r="M30" s="11"/>
      <c r="N30" s="11"/>
      <c r="O30" s="11"/>
      <c r="P30" s="11"/>
      <c r="Q30" s="11"/>
      <c r="R30" s="12"/>
      <c r="S30" s="12"/>
      <c r="T30" s="1111"/>
      <c r="U30" s="1128"/>
      <c r="V30" s="1129"/>
    </row>
    <row r="31" spans="1:25">
      <c r="A31" s="1121" t="s">
        <v>27</v>
      </c>
      <c r="B31" s="1122"/>
      <c r="C31" s="1122"/>
      <c r="D31" s="1122"/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2"/>
      <c r="T31" s="1130">
        <f>T15-T20</f>
        <v>-5522629000</v>
      </c>
      <c r="U31" s="1131"/>
      <c r="V31" s="1132"/>
    </row>
    <row r="32" spans="1:25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20"/>
    </row>
    <row r="33" spans="1:25">
      <c r="A33" s="1123" t="s">
        <v>28</v>
      </c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7"/>
    </row>
    <row r="34" spans="1:25">
      <c r="A34" s="1133" t="s">
        <v>29</v>
      </c>
      <c r="B34" s="1134"/>
      <c r="C34" s="1134"/>
      <c r="D34" s="1134"/>
      <c r="E34" s="1134"/>
      <c r="F34" s="1134"/>
      <c r="G34" s="1134"/>
      <c r="H34" s="1134"/>
      <c r="I34" s="1134"/>
      <c r="J34" s="1134"/>
      <c r="K34" s="1134"/>
      <c r="L34" s="1134"/>
      <c r="M34" s="1134"/>
      <c r="N34" s="1134"/>
      <c r="O34" s="1134"/>
      <c r="P34" s="1134"/>
      <c r="Q34" s="1134"/>
      <c r="R34" s="1134"/>
      <c r="S34" s="1134"/>
      <c r="T34" s="1134"/>
      <c r="U34" s="1134"/>
      <c r="V34" s="1135"/>
    </row>
    <row r="35" spans="1:25">
      <c r="A35" s="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20"/>
    </row>
    <row r="36" spans="1:25">
      <c r="A36" s="1123" t="s">
        <v>30</v>
      </c>
      <c r="B36" s="1124"/>
      <c r="C36" s="1124"/>
      <c r="D36" s="1124"/>
      <c r="E36" s="1124"/>
      <c r="F36" s="1124"/>
      <c r="G36" s="1124"/>
      <c r="H36" s="1125"/>
      <c r="I36" s="1126" t="s">
        <v>14</v>
      </c>
      <c r="J36" s="1124"/>
      <c r="K36" s="1124"/>
      <c r="L36" s="1125"/>
      <c r="M36" s="1115" t="s">
        <v>31</v>
      </c>
      <c r="N36" s="1122"/>
      <c r="O36" s="1122"/>
      <c r="P36" s="1122"/>
      <c r="Q36" s="1122"/>
      <c r="R36" s="1122"/>
      <c r="S36" s="1122"/>
      <c r="T36" s="1122"/>
      <c r="U36" s="1126" t="s">
        <v>15</v>
      </c>
      <c r="V36" s="1127"/>
    </row>
    <row r="37" spans="1:25">
      <c r="A37" s="21"/>
      <c r="B37" s="22"/>
      <c r="C37" s="22"/>
      <c r="D37" s="22"/>
      <c r="E37" s="22"/>
      <c r="F37" s="22"/>
      <c r="G37" s="22"/>
      <c r="H37" s="23"/>
      <c r="I37" s="24"/>
      <c r="J37" s="22"/>
      <c r="K37" s="22"/>
      <c r="L37" s="23"/>
      <c r="M37" s="1115" t="s">
        <v>32</v>
      </c>
      <c r="N37" s="1120"/>
      <c r="O37" s="1115" t="s">
        <v>33</v>
      </c>
      <c r="P37" s="1120"/>
      <c r="Q37" s="1115" t="s">
        <v>34</v>
      </c>
      <c r="R37" s="1120"/>
      <c r="S37" s="1115" t="s">
        <v>35</v>
      </c>
      <c r="T37" s="1120"/>
      <c r="U37" s="25"/>
      <c r="V37" s="26"/>
    </row>
    <row r="38" spans="1:25">
      <c r="A38" s="1121">
        <v>1</v>
      </c>
      <c r="B38" s="1122"/>
      <c r="C38" s="1122"/>
      <c r="D38" s="1122"/>
      <c r="E38" s="1122"/>
      <c r="F38" s="1122"/>
      <c r="G38" s="1122"/>
      <c r="H38" s="1120"/>
      <c r="I38" s="1122">
        <v>2</v>
      </c>
      <c r="J38" s="1122"/>
      <c r="K38" s="1122"/>
      <c r="L38" s="1120"/>
      <c r="M38" s="1115">
        <v>3</v>
      </c>
      <c r="N38" s="1120"/>
      <c r="O38" s="1115">
        <v>4</v>
      </c>
      <c r="P38" s="1120"/>
      <c r="Q38" s="1115">
        <v>5</v>
      </c>
      <c r="R38" s="1120"/>
      <c r="S38" s="1115">
        <v>6</v>
      </c>
      <c r="T38" s="1120"/>
      <c r="U38" s="1115" t="s">
        <v>36</v>
      </c>
      <c r="V38" s="1116"/>
    </row>
    <row r="39" spans="1:25">
      <c r="A39" s="13"/>
      <c r="B39" s="11"/>
      <c r="C39" s="11"/>
      <c r="D39" s="11"/>
      <c r="E39" s="11"/>
      <c r="F39" s="11"/>
      <c r="G39" s="11"/>
      <c r="H39" s="18"/>
      <c r="I39" s="11"/>
      <c r="J39" s="11"/>
      <c r="K39" s="11"/>
      <c r="L39" s="11"/>
      <c r="M39" s="27"/>
      <c r="N39" s="28"/>
      <c r="O39" s="11"/>
      <c r="P39" s="11"/>
      <c r="Q39" s="27"/>
      <c r="R39" s="28"/>
      <c r="S39" s="11"/>
      <c r="T39" s="11"/>
      <c r="U39" s="10"/>
      <c r="V39" s="20"/>
    </row>
    <row r="40" spans="1:25">
      <c r="A40" s="1109" t="s">
        <v>542</v>
      </c>
      <c r="B40" s="1105"/>
      <c r="C40" s="1105"/>
      <c r="D40" s="1105"/>
      <c r="E40" s="1105"/>
      <c r="F40" s="1105"/>
      <c r="G40" s="1105"/>
      <c r="H40" s="18"/>
      <c r="I40" s="1117" t="s">
        <v>816</v>
      </c>
      <c r="J40" s="1100"/>
      <c r="K40" s="1100"/>
      <c r="L40" s="1118"/>
      <c r="M40" s="1113">
        <v>928250000</v>
      </c>
      <c r="N40" s="1119"/>
      <c r="O40" s="1113">
        <v>928250000</v>
      </c>
      <c r="P40" s="1119"/>
      <c r="Q40" s="1113">
        <v>928250000</v>
      </c>
      <c r="R40" s="1119"/>
      <c r="S40" s="1113">
        <v>928250000</v>
      </c>
      <c r="T40" s="1119"/>
      <c r="U40" s="1113">
        <f>M40+O40+Q40+S40</f>
        <v>3713000000</v>
      </c>
      <c r="V40" s="1114"/>
    </row>
    <row r="41" spans="1:25">
      <c r="A41" s="1109" t="s">
        <v>549</v>
      </c>
      <c r="B41" s="1105"/>
      <c r="C41" s="1105"/>
      <c r="D41" s="1105"/>
      <c r="E41" s="1105"/>
      <c r="F41" s="1105"/>
      <c r="G41" s="1105"/>
      <c r="H41" s="1110"/>
      <c r="I41" s="11" t="s">
        <v>20</v>
      </c>
      <c r="J41" s="11"/>
      <c r="K41" s="11"/>
      <c r="L41" s="11"/>
      <c r="M41" s="1111">
        <v>838090571</v>
      </c>
      <c r="N41" s="1112"/>
      <c r="O41" s="1111">
        <v>1027418929</v>
      </c>
      <c r="P41" s="1112"/>
      <c r="Q41" s="1111">
        <v>1027418929</v>
      </c>
      <c r="R41" s="1112"/>
      <c r="S41" s="1111">
        <v>838090571</v>
      </c>
      <c r="T41" s="1112"/>
      <c r="U41" s="1113">
        <f>M41+O41+Q41+S41</f>
        <v>3731019000</v>
      </c>
      <c r="V41" s="1114"/>
    </row>
    <row r="42" spans="1:25">
      <c r="A42" s="1109" t="s">
        <v>552</v>
      </c>
      <c r="B42" s="1105"/>
      <c r="C42" s="1105"/>
      <c r="D42" s="1105"/>
      <c r="E42" s="1105"/>
      <c r="F42" s="1105"/>
      <c r="G42" s="1105"/>
      <c r="H42" s="1110"/>
      <c r="I42" s="11" t="s">
        <v>37</v>
      </c>
      <c r="J42" s="11"/>
      <c r="K42" s="11"/>
      <c r="L42" s="11"/>
      <c r="M42" s="1111">
        <v>593373000</v>
      </c>
      <c r="N42" s="1112"/>
      <c r="O42" s="1111">
        <f>4649694000-2000000000</f>
        <v>2649694000</v>
      </c>
      <c r="P42" s="1112"/>
      <c r="Q42" s="1111">
        <f>4787121850-2750000000</f>
        <v>2037121850</v>
      </c>
      <c r="R42" s="1112"/>
      <c r="S42" s="1111">
        <f>474421150-250000000</f>
        <v>224421150</v>
      </c>
      <c r="T42" s="1112"/>
      <c r="U42" s="1113">
        <f>M42+O42+Q42+S42</f>
        <v>5504610000</v>
      </c>
      <c r="V42" s="1114"/>
      <c r="Y42">
        <f>1320544150</f>
        <v>1320544150</v>
      </c>
    </row>
    <row r="43" spans="1:25">
      <c r="A43" s="13"/>
      <c r="B43" s="11"/>
      <c r="C43" s="11"/>
      <c r="D43" s="11"/>
      <c r="E43" s="11"/>
      <c r="F43" s="11"/>
      <c r="G43" s="11"/>
      <c r="H43" s="18"/>
      <c r="I43" s="11"/>
      <c r="J43" s="11"/>
      <c r="K43" s="11"/>
      <c r="L43" s="11"/>
      <c r="M43" s="10"/>
      <c r="N43" s="18"/>
      <c r="O43" s="11"/>
      <c r="P43" s="11"/>
      <c r="Q43" s="10"/>
      <c r="R43" s="18"/>
      <c r="S43" s="11"/>
      <c r="T43" s="11"/>
      <c r="U43" s="10"/>
      <c r="V43" s="20"/>
      <c r="Y43" s="79">
        <f>Y42-U42</f>
        <v>-4184065850</v>
      </c>
    </row>
    <row r="44" spans="1:25">
      <c r="A44" s="13"/>
      <c r="B44" s="11"/>
      <c r="C44" s="11"/>
      <c r="D44" s="11"/>
      <c r="E44" s="11"/>
      <c r="F44" s="11"/>
      <c r="G44" s="11"/>
      <c r="H44" s="18"/>
      <c r="I44" s="11"/>
      <c r="J44" s="11"/>
      <c r="K44" s="11"/>
      <c r="L44" s="11"/>
      <c r="M44" s="10"/>
      <c r="N44" s="18"/>
      <c r="O44" s="11"/>
      <c r="P44" s="11"/>
      <c r="Q44" s="10"/>
      <c r="R44" s="18"/>
      <c r="S44" s="11"/>
      <c r="T44" s="11"/>
      <c r="U44" s="10"/>
      <c r="V44" s="20"/>
    </row>
    <row r="45" spans="1:25">
      <c r="A45" s="13"/>
      <c r="B45" s="11"/>
      <c r="C45" s="11"/>
      <c r="D45" s="11"/>
      <c r="E45" s="11"/>
      <c r="F45" s="11"/>
      <c r="G45" s="11"/>
      <c r="H45" s="18"/>
      <c r="I45" s="11"/>
      <c r="J45" s="11"/>
      <c r="K45" s="11"/>
      <c r="L45" s="11"/>
      <c r="M45" s="10"/>
      <c r="N45" s="18"/>
      <c r="O45" s="11"/>
      <c r="P45" s="11"/>
      <c r="Q45" s="10"/>
      <c r="R45" s="18"/>
      <c r="S45" s="11"/>
      <c r="T45" s="11"/>
      <c r="U45" s="10"/>
      <c r="V45" s="20"/>
      <c r="Y45" s="79">
        <f>U41+U42</f>
        <v>9235629000</v>
      </c>
    </row>
    <row r="46" spans="1:25">
      <c r="A46" s="21"/>
      <c r="B46" s="22"/>
      <c r="C46" s="22"/>
      <c r="D46" s="22"/>
      <c r="E46" s="22"/>
      <c r="F46" s="22"/>
      <c r="G46" s="22"/>
      <c r="H46" s="23"/>
      <c r="I46" s="22"/>
      <c r="J46" s="22"/>
      <c r="K46" s="22"/>
      <c r="L46" s="22"/>
      <c r="M46" s="24"/>
      <c r="N46" s="23"/>
      <c r="O46" s="22"/>
      <c r="P46" s="22"/>
      <c r="Q46" s="24"/>
      <c r="R46" s="23"/>
      <c r="S46" s="22"/>
      <c r="T46" s="22"/>
      <c r="U46" s="24"/>
      <c r="V46" s="29"/>
    </row>
    <row r="47" spans="1:25">
      <c r="A47" s="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0"/>
    </row>
    <row r="48" spans="1:25">
      <c r="A48" s="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0"/>
    </row>
    <row r="49" spans="1:22">
      <c r="A49" s="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00" t="s">
        <v>554</v>
      </c>
      <c r="S49" s="1100"/>
      <c r="T49" s="1100"/>
      <c r="U49" s="1100"/>
      <c r="V49" s="1101"/>
    </row>
    <row r="50" spans="1:22">
      <c r="A50" s="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00" t="s">
        <v>38</v>
      </c>
      <c r="S50" s="1100"/>
      <c r="T50" s="1100"/>
      <c r="U50" s="1100"/>
      <c r="V50" s="1101"/>
    </row>
    <row r="51" spans="1:22">
      <c r="A51" s="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00" t="s">
        <v>39</v>
      </c>
      <c r="S51" s="1100"/>
      <c r="T51" s="1100"/>
      <c r="U51" s="1100"/>
      <c r="V51" s="1101"/>
    </row>
    <row r="52" spans="1:22">
      <c r="A52" s="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00" t="s">
        <v>4</v>
      </c>
      <c r="S52" s="1100"/>
      <c r="T52" s="1100"/>
      <c r="U52" s="1100"/>
      <c r="V52" s="1101"/>
    </row>
    <row r="53" spans="1:22">
      <c r="A53" s="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00"/>
      <c r="S53" s="1100"/>
      <c r="T53" s="1100"/>
      <c r="U53" s="1100"/>
      <c r="V53" s="1101"/>
    </row>
    <row r="54" spans="1:22">
      <c r="A54" s="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371"/>
      <c r="S54" s="371"/>
      <c r="T54" s="371"/>
      <c r="U54" s="371"/>
      <c r="V54" s="372"/>
    </row>
    <row r="55" spans="1:22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0"/>
    </row>
    <row r="56" spans="1:22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0"/>
    </row>
    <row r="57" spans="1:22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07" t="s">
        <v>40</v>
      </c>
      <c r="S57" s="1107"/>
      <c r="T57" s="1107"/>
      <c r="U57" s="1107"/>
      <c r="V57" s="1108"/>
    </row>
    <row r="58" spans="1:22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00" t="s">
        <v>41</v>
      </c>
      <c r="S58" s="1100"/>
      <c r="T58" s="1100"/>
      <c r="U58" s="1100"/>
      <c r="V58" s="1101"/>
    </row>
    <row r="59" spans="1:22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00" t="s">
        <v>42</v>
      </c>
      <c r="S59" s="1100"/>
      <c r="T59" s="1100"/>
      <c r="U59" s="1100"/>
      <c r="V59" s="1101"/>
    </row>
    <row r="60" spans="1:22">
      <c r="A60" s="1102" t="s">
        <v>43</v>
      </c>
      <c r="B60" s="1103"/>
      <c r="C60" s="1103"/>
      <c r="D60" s="1103"/>
      <c r="E60" s="1103"/>
      <c r="F60" s="1103"/>
      <c r="G60" s="1103"/>
      <c r="H60" s="1103"/>
      <c r="I60" s="1103"/>
      <c r="J60" s="1103"/>
      <c r="K60" s="1103"/>
      <c r="L60" s="1103"/>
      <c r="M60" s="1103"/>
      <c r="N60" s="1103"/>
      <c r="O60" s="1103"/>
      <c r="P60" s="1103"/>
      <c r="Q60" s="1103"/>
      <c r="R60" s="1103"/>
      <c r="S60" s="1103"/>
      <c r="T60" s="1103"/>
      <c r="U60" s="1103"/>
      <c r="V60" s="1104"/>
    </row>
    <row r="61" spans="1:22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20"/>
    </row>
    <row r="62" spans="1:22">
      <c r="A62" s="13">
        <v>1</v>
      </c>
      <c r="B62" s="11" t="s">
        <v>526</v>
      </c>
      <c r="C62" s="11"/>
      <c r="D62" s="11"/>
      <c r="E62" s="11"/>
      <c r="F62" s="11"/>
      <c r="G62" s="11"/>
      <c r="H62" s="11"/>
      <c r="I62" s="11"/>
      <c r="J62" s="11"/>
      <c r="K62" s="11"/>
      <c r="L62" s="11" t="s">
        <v>555</v>
      </c>
      <c r="M62" s="11"/>
      <c r="N62" s="11"/>
      <c r="O62" s="11"/>
      <c r="P62" s="11"/>
      <c r="Q62" s="11"/>
      <c r="R62" s="11" t="s">
        <v>44</v>
      </c>
      <c r="S62" s="11"/>
      <c r="T62" s="11"/>
      <c r="U62" s="11"/>
      <c r="V62" s="20"/>
    </row>
    <row r="63" spans="1:22">
      <c r="A63" s="13"/>
      <c r="B63" s="11" t="s">
        <v>45</v>
      </c>
      <c r="C63" s="11"/>
      <c r="D63" s="11"/>
      <c r="E63" s="11"/>
      <c r="F63" s="11"/>
      <c r="G63" s="11"/>
      <c r="H63" s="11"/>
      <c r="I63" s="11"/>
      <c r="J63" s="11"/>
      <c r="K63" s="11"/>
      <c r="L63" s="11" t="s">
        <v>556</v>
      </c>
      <c r="M63" s="11"/>
      <c r="N63" s="11"/>
      <c r="O63" s="11"/>
      <c r="P63" s="11"/>
      <c r="Q63" s="11"/>
      <c r="R63" s="11"/>
      <c r="S63" s="11"/>
      <c r="T63" s="11"/>
      <c r="U63" s="11"/>
      <c r="V63" s="20"/>
    </row>
    <row r="64" spans="1:22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20"/>
    </row>
    <row r="65" spans="1:22">
      <c r="A65" s="13">
        <v>2</v>
      </c>
      <c r="B65" s="11" t="s">
        <v>46</v>
      </c>
      <c r="C65" s="11"/>
      <c r="D65" s="11"/>
      <c r="E65" s="11"/>
      <c r="F65" s="11"/>
      <c r="G65" s="11"/>
      <c r="H65" s="11"/>
      <c r="I65" s="11"/>
      <c r="J65" s="11"/>
      <c r="K65" s="11"/>
      <c r="L65" s="1105" t="s">
        <v>192</v>
      </c>
      <c r="M65" s="1105"/>
      <c r="N65" s="1105"/>
      <c r="O65" s="1105"/>
      <c r="P65" s="1105"/>
      <c r="Q65" s="1105"/>
      <c r="R65" s="1105"/>
      <c r="S65" s="11" t="s">
        <v>833</v>
      </c>
      <c r="T65" s="11"/>
      <c r="U65" s="11"/>
      <c r="V65" s="20"/>
    </row>
    <row r="66" spans="1:22">
      <c r="A66" s="13"/>
      <c r="B66" s="11" t="s">
        <v>45</v>
      </c>
      <c r="C66" s="11"/>
      <c r="D66" s="11"/>
      <c r="E66" s="11"/>
      <c r="F66" s="11"/>
      <c r="G66" s="11"/>
      <c r="H66" s="11"/>
      <c r="I66" s="11"/>
      <c r="J66" s="11"/>
      <c r="K66" s="11"/>
      <c r="L66" s="1105" t="s">
        <v>112</v>
      </c>
      <c r="M66" s="1106"/>
      <c r="N66" s="1106"/>
      <c r="O66" s="1106"/>
      <c r="P66" s="1106"/>
      <c r="Q66" s="1106"/>
      <c r="R66" s="1106"/>
      <c r="S66" s="11"/>
      <c r="T66" s="11"/>
      <c r="U66" s="11"/>
      <c r="V66" s="20"/>
    </row>
    <row r="67" spans="1:22" ht="15.75" thickBot="1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2"/>
    </row>
  </sheetData>
  <mergeCells count="89">
    <mergeCell ref="A6:V6"/>
    <mergeCell ref="A1:T2"/>
    <mergeCell ref="U1:V1"/>
    <mergeCell ref="A3:T4"/>
    <mergeCell ref="U3:V3"/>
    <mergeCell ref="A5:V5"/>
    <mergeCell ref="T15:V15"/>
    <mergeCell ref="A9:V9"/>
    <mergeCell ref="A10:V10"/>
    <mergeCell ref="A11:J11"/>
    <mergeCell ref="K11:S11"/>
    <mergeCell ref="T11:V11"/>
    <mergeCell ref="A12:J12"/>
    <mergeCell ref="T12:V12"/>
    <mergeCell ref="A13:J13"/>
    <mergeCell ref="K13:S13"/>
    <mergeCell ref="T13:V13"/>
    <mergeCell ref="A14:J14"/>
    <mergeCell ref="T14:V14"/>
    <mergeCell ref="A25:J25"/>
    <mergeCell ref="T25:V25"/>
    <mergeCell ref="T16:V16"/>
    <mergeCell ref="T17:V17"/>
    <mergeCell ref="T18:V18"/>
    <mergeCell ref="A20:J20"/>
    <mergeCell ref="T20:V20"/>
    <mergeCell ref="A21:J21"/>
    <mergeCell ref="T21:V21"/>
    <mergeCell ref="A22:J22"/>
    <mergeCell ref="T22:V22"/>
    <mergeCell ref="T23:V23"/>
    <mergeCell ref="A24:J24"/>
    <mergeCell ref="T24:V24"/>
    <mergeCell ref="A36:H36"/>
    <mergeCell ref="I36:L36"/>
    <mergeCell ref="M36:T36"/>
    <mergeCell ref="U36:V36"/>
    <mergeCell ref="A26:J26"/>
    <mergeCell ref="T26:V26"/>
    <mergeCell ref="A27:J27"/>
    <mergeCell ref="T27:V27"/>
    <mergeCell ref="T28:V28"/>
    <mergeCell ref="T29:V29"/>
    <mergeCell ref="T30:V30"/>
    <mergeCell ref="A31:S31"/>
    <mergeCell ref="T31:V31"/>
    <mergeCell ref="A33:V33"/>
    <mergeCell ref="A34:V34"/>
    <mergeCell ref="M37:N37"/>
    <mergeCell ref="O37:P37"/>
    <mergeCell ref="Q37:R37"/>
    <mergeCell ref="S37:T37"/>
    <mergeCell ref="A38:H38"/>
    <mergeCell ref="I38:L38"/>
    <mergeCell ref="M38:N38"/>
    <mergeCell ref="O38:P38"/>
    <mergeCell ref="Q38:R38"/>
    <mergeCell ref="S38:T38"/>
    <mergeCell ref="U38:V38"/>
    <mergeCell ref="A41:H41"/>
    <mergeCell ref="M41:N41"/>
    <mergeCell ref="O41:P41"/>
    <mergeCell ref="Q41:R41"/>
    <mergeCell ref="S41:T41"/>
    <mergeCell ref="U41:V41"/>
    <mergeCell ref="A40:G40"/>
    <mergeCell ref="I40:L40"/>
    <mergeCell ref="M40:N40"/>
    <mergeCell ref="O40:P40"/>
    <mergeCell ref="Q40:R40"/>
    <mergeCell ref="S40:T40"/>
    <mergeCell ref="U40:V40"/>
    <mergeCell ref="R57:V57"/>
    <mergeCell ref="A42:H42"/>
    <mergeCell ref="M42:N42"/>
    <mergeCell ref="O42:P42"/>
    <mergeCell ref="Q42:R42"/>
    <mergeCell ref="S42:T42"/>
    <mergeCell ref="U42:V42"/>
    <mergeCell ref="R49:V49"/>
    <mergeCell ref="R50:V50"/>
    <mergeCell ref="R51:V51"/>
    <mergeCell ref="R52:V52"/>
    <mergeCell ref="R53:V53"/>
    <mergeCell ref="R58:V58"/>
    <mergeCell ref="R59:V59"/>
    <mergeCell ref="A60:V60"/>
    <mergeCell ref="L65:R65"/>
    <mergeCell ref="L66:R66"/>
  </mergeCells>
  <pageMargins left="0.43307086614173229" right="0.43307086614173229" top="0.70866141732283472" bottom="0.70866141732283472" header="0.31496062992125984" footer="0.31496062992125984"/>
  <pageSetup paperSize="5" scale="80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A98"/>
  <sheetViews>
    <sheetView workbookViewId="0">
      <selection activeCell="Z10" sqref="Z10"/>
    </sheetView>
  </sheetViews>
  <sheetFormatPr defaultRowHeight="15"/>
  <cols>
    <col min="1" max="2" width="2.85546875" customWidth="1"/>
    <col min="3" max="3" width="3.140625" customWidth="1"/>
    <col min="4" max="4" width="3" customWidth="1"/>
    <col min="5" max="5" width="3.140625" customWidth="1"/>
    <col min="6" max="6" width="2.85546875" customWidth="1"/>
    <col min="7" max="7" width="1.85546875" customWidth="1"/>
    <col min="8" max="8" width="2.140625" customWidth="1"/>
    <col min="9" max="9" width="1.85546875" customWidth="1"/>
    <col min="10" max="10" width="2.7109375" customWidth="1"/>
    <col min="11" max="11" width="2.42578125" customWidth="1"/>
    <col min="12" max="12" width="2.28515625" customWidth="1"/>
    <col min="15" max="15" width="7.140625" customWidth="1"/>
    <col min="16" max="16" width="6.7109375" customWidth="1"/>
    <col min="17" max="17" width="6.85546875" customWidth="1"/>
    <col min="18" max="18" width="5.28515625" customWidth="1"/>
    <col min="19" max="19" width="5.42578125" customWidth="1"/>
    <col min="20" max="20" width="4.7109375" customWidth="1"/>
    <col min="21" max="21" width="5.140625" customWidth="1"/>
    <col min="22" max="22" width="4.85546875" customWidth="1"/>
    <col min="23" max="23" width="6.5703125" customWidth="1"/>
    <col min="24" max="24" width="9" customWidth="1"/>
    <col min="26" max="26" width="14.85546875" customWidth="1"/>
    <col min="27" max="27" width="12" customWidth="1"/>
  </cols>
  <sheetData>
    <row r="1" spans="1:24" ht="15.75">
      <c r="A1" s="1625" t="s">
        <v>0</v>
      </c>
      <c r="B1" s="1626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7"/>
      <c r="P1" s="940" t="s">
        <v>559</v>
      </c>
      <c r="Q1" s="628" t="s">
        <v>559</v>
      </c>
      <c r="R1" s="941" t="s">
        <v>157</v>
      </c>
      <c r="S1" s="941" t="s">
        <v>157</v>
      </c>
      <c r="T1" s="941" t="s">
        <v>267</v>
      </c>
      <c r="U1" s="628" t="s">
        <v>158</v>
      </c>
      <c r="V1" s="923" t="s">
        <v>159</v>
      </c>
      <c r="W1" s="1621"/>
      <c r="X1" s="1622"/>
    </row>
    <row r="2" spans="1:24" ht="12.75" customHeight="1">
      <c r="A2" s="1379" t="s">
        <v>2</v>
      </c>
      <c r="B2" s="1380"/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1"/>
      <c r="P2" s="857"/>
      <c r="Q2" s="611"/>
      <c r="R2" s="611"/>
      <c r="S2" s="622"/>
      <c r="T2" s="622"/>
      <c r="U2" s="603"/>
      <c r="V2" s="604"/>
      <c r="W2" s="1623" t="s">
        <v>1</v>
      </c>
      <c r="X2" s="1624"/>
    </row>
    <row r="3" spans="1:24" ht="12" customHeight="1">
      <c r="A3" s="1382"/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1383"/>
      <c r="O3" s="1384"/>
      <c r="P3" s="599"/>
      <c r="Q3" s="873"/>
      <c r="R3" s="873"/>
      <c r="S3" s="600"/>
      <c r="T3" s="600"/>
      <c r="U3" s="601"/>
      <c r="V3" s="874"/>
      <c r="W3" s="1623"/>
      <c r="X3" s="1624"/>
    </row>
    <row r="4" spans="1:24" ht="16.5" customHeight="1">
      <c r="A4" s="1515" t="s">
        <v>717</v>
      </c>
      <c r="B4" s="1516"/>
      <c r="C4" s="1516"/>
      <c r="D4" s="1516"/>
      <c r="E4" s="1516"/>
      <c r="F4" s="1516"/>
      <c r="G4" s="1516"/>
      <c r="H4" s="1516"/>
      <c r="I4" s="1516"/>
      <c r="J4" s="1516"/>
      <c r="K4" s="1516"/>
      <c r="L4" s="1516"/>
      <c r="M4" s="1516"/>
      <c r="N4" s="1516"/>
      <c r="O4" s="1516"/>
      <c r="P4" s="1516"/>
      <c r="Q4" s="1516"/>
      <c r="R4" s="1516"/>
      <c r="S4" s="1516"/>
      <c r="T4" s="1516"/>
      <c r="U4" s="1516"/>
      <c r="V4" s="1517"/>
      <c r="W4" s="1623" t="s">
        <v>1040</v>
      </c>
      <c r="X4" s="1624"/>
    </row>
    <row r="5" spans="1:24">
      <c r="A5" s="1518" t="s">
        <v>922</v>
      </c>
      <c r="B5" s="1519"/>
      <c r="C5" s="1519"/>
      <c r="D5" s="1519"/>
      <c r="E5" s="1519"/>
      <c r="F5" s="1519"/>
      <c r="G5" s="1519"/>
      <c r="H5" s="1519"/>
      <c r="I5" s="1519"/>
      <c r="J5" s="1519"/>
      <c r="K5" s="1519"/>
      <c r="L5" s="1519"/>
      <c r="M5" s="1519"/>
      <c r="N5" s="1519"/>
      <c r="O5" s="1519"/>
      <c r="P5" s="1519"/>
      <c r="Q5" s="1519"/>
      <c r="R5" s="1519"/>
      <c r="S5" s="1519"/>
      <c r="T5" s="1519"/>
      <c r="U5" s="1519"/>
      <c r="V5" s="1520"/>
      <c r="W5" s="850"/>
      <c r="X5" s="851"/>
    </row>
    <row r="6" spans="1:24">
      <c r="A6" s="840" t="s">
        <v>5</v>
      </c>
      <c r="B6" s="230"/>
      <c r="C6" s="230"/>
      <c r="D6" s="230"/>
      <c r="E6" s="230"/>
      <c r="F6" s="230"/>
      <c r="G6" s="230"/>
      <c r="H6" s="230"/>
      <c r="I6" s="230"/>
      <c r="J6" s="603"/>
      <c r="K6" s="603" t="s">
        <v>6</v>
      </c>
      <c r="L6" s="197" t="s">
        <v>528</v>
      </c>
      <c r="M6" s="197"/>
      <c r="N6" s="197"/>
      <c r="O6" s="197"/>
      <c r="P6" s="197" t="s">
        <v>8</v>
      </c>
      <c r="Q6" s="197"/>
      <c r="R6" s="197"/>
      <c r="S6" s="197"/>
      <c r="T6" s="197"/>
      <c r="U6" s="603"/>
      <c r="V6" s="603"/>
      <c r="W6" s="603"/>
      <c r="X6" s="604"/>
    </row>
    <row r="7" spans="1:24">
      <c r="A7" s="840" t="s">
        <v>9</v>
      </c>
      <c r="B7" s="230"/>
      <c r="C7" s="230"/>
      <c r="D7" s="230"/>
      <c r="E7" s="230"/>
      <c r="F7" s="230"/>
      <c r="G7" s="230"/>
      <c r="H7" s="230"/>
      <c r="I7" s="230"/>
      <c r="J7" s="603"/>
      <c r="K7" s="603" t="s">
        <v>6</v>
      </c>
      <c r="L7" s="199" t="s">
        <v>529</v>
      </c>
      <c r="M7" s="199"/>
      <c r="N7" s="197"/>
      <c r="O7" s="197"/>
      <c r="P7" s="197" t="s">
        <v>11</v>
      </c>
      <c r="Q7" s="197"/>
      <c r="R7" s="197"/>
      <c r="S7" s="197"/>
      <c r="T7" s="197"/>
      <c r="U7" s="603"/>
      <c r="V7" s="603"/>
      <c r="W7" s="603"/>
      <c r="X7" s="604"/>
    </row>
    <row r="8" spans="1:24">
      <c r="A8" s="840" t="s">
        <v>162</v>
      </c>
      <c r="B8" s="230"/>
      <c r="C8" s="230"/>
      <c r="D8" s="230"/>
      <c r="E8" s="230"/>
      <c r="F8" s="230"/>
      <c r="G8" s="230"/>
      <c r="H8" s="230"/>
      <c r="I8" s="230"/>
      <c r="J8" s="603"/>
      <c r="K8" s="603" t="s">
        <v>6</v>
      </c>
      <c r="L8" s="197" t="s">
        <v>557</v>
      </c>
      <c r="M8" s="197"/>
      <c r="N8" s="197"/>
      <c r="O8" s="197"/>
      <c r="P8" s="197" t="s">
        <v>163</v>
      </c>
      <c r="Q8" s="197"/>
      <c r="R8" s="197"/>
      <c r="S8" s="197"/>
      <c r="T8" s="197"/>
      <c r="U8" s="603"/>
      <c r="V8" s="603"/>
      <c r="W8" s="603"/>
      <c r="X8" s="604"/>
    </row>
    <row r="9" spans="1:24">
      <c r="A9" s="602" t="s">
        <v>58</v>
      </c>
      <c r="B9" s="603"/>
      <c r="C9" s="603"/>
      <c r="D9" s="603"/>
      <c r="E9" s="603"/>
      <c r="F9" s="603"/>
      <c r="G9" s="603"/>
      <c r="H9" s="603"/>
      <c r="I9" s="603"/>
      <c r="J9" s="603"/>
      <c r="K9" s="603" t="s">
        <v>6</v>
      </c>
      <c r="L9" s="603" t="s">
        <v>586</v>
      </c>
      <c r="M9" s="603"/>
      <c r="N9" s="603"/>
      <c r="O9" s="603"/>
      <c r="P9" s="605" t="s">
        <v>79</v>
      </c>
      <c r="Q9" s="605"/>
      <c r="R9" s="605"/>
      <c r="S9" s="605"/>
      <c r="T9" s="605"/>
      <c r="U9" s="605"/>
      <c r="V9" s="605"/>
      <c r="W9" s="605"/>
      <c r="X9" s="604"/>
    </row>
    <row r="10" spans="1:24">
      <c r="A10" s="602" t="s">
        <v>165</v>
      </c>
      <c r="B10" s="603"/>
      <c r="C10" s="603"/>
      <c r="D10" s="603"/>
      <c r="E10" s="603"/>
      <c r="F10" s="603"/>
      <c r="G10" s="603"/>
      <c r="H10" s="603"/>
      <c r="I10" s="603"/>
      <c r="J10" s="603"/>
      <c r="K10" s="603" t="s">
        <v>6</v>
      </c>
      <c r="L10" s="603" t="s">
        <v>923</v>
      </c>
      <c r="M10" s="603"/>
      <c r="N10" s="603"/>
      <c r="O10" s="603"/>
      <c r="P10" s="603"/>
      <c r="Q10" s="603"/>
      <c r="R10" s="603"/>
      <c r="S10" s="603"/>
      <c r="T10" s="603"/>
      <c r="U10" s="603"/>
      <c r="V10" s="603"/>
      <c r="W10" s="603"/>
      <c r="X10" s="604"/>
    </row>
    <row r="11" spans="1:24">
      <c r="A11" s="602" t="s">
        <v>1021</v>
      </c>
      <c r="B11" s="603"/>
      <c r="C11" s="603"/>
      <c r="D11" s="603"/>
      <c r="E11" s="603"/>
      <c r="F11" s="603"/>
      <c r="G11" s="603"/>
      <c r="H11" s="603"/>
      <c r="I11" s="603"/>
      <c r="J11" s="603"/>
      <c r="K11" s="603" t="s">
        <v>6</v>
      </c>
      <c r="L11" s="66" t="s">
        <v>919</v>
      </c>
      <c r="M11" s="603"/>
      <c r="N11" s="603"/>
      <c r="O11" s="603"/>
      <c r="P11" s="603"/>
      <c r="Q11" s="606"/>
      <c r="R11" s="603"/>
      <c r="S11" s="603"/>
      <c r="T11" s="603"/>
      <c r="U11" s="603"/>
      <c r="V11" s="603"/>
      <c r="W11" s="603"/>
      <c r="X11" s="604"/>
    </row>
    <row r="12" spans="1:24">
      <c r="A12" s="602" t="s">
        <v>167</v>
      </c>
      <c r="B12" s="603"/>
      <c r="C12" s="603"/>
      <c r="D12" s="603"/>
      <c r="E12" s="603"/>
      <c r="F12" s="603"/>
      <c r="G12" s="603"/>
      <c r="H12" s="603"/>
      <c r="I12" s="603"/>
      <c r="J12" s="603"/>
      <c r="K12" s="603" t="s">
        <v>6</v>
      </c>
      <c r="L12" s="603" t="s">
        <v>68</v>
      </c>
      <c r="M12" s="603"/>
      <c r="N12" s="603"/>
      <c r="O12" s="603"/>
      <c r="P12" s="603"/>
      <c r="Q12" s="603"/>
      <c r="R12" s="603"/>
      <c r="S12" s="603"/>
      <c r="T12" s="603"/>
      <c r="U12" s="603"/>
      <c r="V12" s="603"/>
      <c r="W12" s="603"/>
      <c r="X12" s="604"/>
    </row>
    <row r="13" spans="1:24">
      <c r="A13" s="1418" t="s">
        <v>260</v>
      </c>
      <c r="B13" s="1400"/>
      <c r="C13" s="1400"/>
      <c r="D13" s="1400"/>
      <c r="E13" s="1400"/>
      <c r="F13" s="1400"/>
      <c r="G13" s="1400"/>
      <c r="H13" s="1400"/>
      <c r="I13" s="1400"/>
      <c r="J13" s="1400"/>
      <c r="K13" s="1400"/>
      <c r="L13" s="1400"/>
      <c r="M13" s="1400"/>
      <c r="N13" s="1400"/>
      <c r="O13" s="1400"/>
      <c r="P13" s="1400"/>
      <c r="Q13" s="1400"/>
      <c r="R13" s="1400"/>
      <c r="S13" s="1400"/>
      <c r="T13" s="1400"/>
      <c r="U13" s="1400"/>
      <c r="V13" s="1400"/>
      <c r="W13" s="1400"/>
      <c r="X13" s="1405"/>
    </row>
    <row r="14" spans="1:24">
      <c r="A14" s="1418" t="s">
        <v>169</v>
      </c>
      <c r="B14" s="1400"/>
      <c r="C14" s="1400"/>
      <c r="D14" s="1400"/>
      <c r="E14" s="1400"/>
      <c r="F14" s="1400"/>
      <c r="G14" s="556"/>
      <c r="H14" s="556"/>
      <c r="I14" s="1399" t="s">
        <v>170</v>
      </c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3"/>
      <c r="U14" s="1399" t="s">
        <v>171</v>
      </c>
      <c r="V14" s="1400"/>
      <c r="W14" s="1400"/>
      <c r="X14" s="1405"/>
    </row>
    <row r="15" spans="1:24">
      <c r="A15" s="607" t="s">
        <v>172</v>
      </c>
      <c r="B15" s="608"/>
      <c r="C15" s="608"/>
      <c r="D15" s="608"/>
      <c r="E15" s="608"/>
      <c r="F15" s="608"/>
      <c r="G15" s="608"/>
      <c r="H15" s="608"/>
      <c r="I15" s="99" t="s">
        <v>268</v>
      </c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609"/>
      <c r="U15" s="1628">
        <v>1</v>
      </c>
      <c r="V15" s="1629"/>
      <c r="W15" s="1629"/>
      <c r="X15" s="1630"/>
    </row>
    <row r="16" spans="1:24">
      <c r="A16" s="602" t="s">
        <v>174</v>
      </c>
      <c r="B16" s="603"/>
      <c r="C16" s="603"/>
      <c r="D16" s="603"/>
      <c r="E16" s="603"/>
      <c r="F16" s="603"/>
      <c r="G16" s="603"/>
      <c r="H16" s="603"/>
      <c r="I16" s="93" t="s">
        <v>175</v>
      </c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10"/>
      <c r="U16" s="611" t="s">
        <v>154</v>
      </c>
      <c r="V16" s="1608">
        <f>V28</f>
        <v>12864000</v>
      </c>
      <c r="W16" s="1608"/>
      <c r="X16" s="1611"/>
    </row>
    <row r="17" spans="1:24">
      <c r="A17" s="602" t="s">
        <v>176</v>
      </c>
      <c r="B17" s="603"/>
      <c r="C17" s="603"/>
      <c r="D17" s="603"/>
      <c r="E17" s="603"/>
      <c r="F17" s="603"/>
      <c r="G17" s="603"/>
      <c r="H17" s="603"/>
      <c r="I17" s="93" t="s">
        <v>269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10"/>
      <c r="U17" s="1631" t="s">
        <v>178</v>
      </c>
      <c r="V17" s="1632"/>
      <c r="W17" s="1632"/>
      <c r="X17" s="1624"/>
    </row>
    <row r="18" spans="1:24">
      <c r="A18" s="612" t="s">
        <v>179</v>
      </c>
      <c r="B18" s="601"/>
      <c r="C18" s="601"/>
      <c r="D18" s="601"/>
      <c r="E18" s="601"/>
      <c r="F18" s="601"/>
      <c r="G18" s="601"/>
      <c r="H18" s="601"/>
      <c r="I18" s="105" t="s">
        <v>270</v>
      </c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613"/>
      <c r="U18" s="1633" t="s">
        <v>181</v>
      </c>
      <c r="V18" s="1634"/>
      <c r="W18" s="1634"/>
      <c r="X18" s="1635"/>
    </row>
    <row r="19" spans="1:24">
      <c r="A19" s="602" t="s">
        <v>182</v>
      </c>
      <c r="B19" s="603"/>
      <c r="C19" s="603"/>
      <c r="D19" s="603"/>
      <c r="E19" s="603"/>
      <c r="F19" s="603"/>
      <c r="G19" s="603"/>
      <c r="H19" s="603"/>
      <c r="I19" s="603"/>
      <c r="J19" s="603"/>
      <c r="K19" s="603"/>
      <c r="L19" s="603"/>
      <c r="M19" s="603" t="s">
        <v>920</v>
      </c>
      <c r="N19" s="603"/>
      <c r="O19" s="603"/>
      <c r="P19" s="603"/>
      <c r="Q19" s="603"/>
      <c r="R19" s="603"/>
      <c r="S19" s="603"/>
      <c r="T19" s="603"/>
      <c r="U19" s="603"/>
      <c r="V19" s="603"/>
      <c r="W19" s="603"/>
      <c r="X19" s="604"/>
    </row>
    <row r="20" spans="1:24">
      <c r="A20" s="1321" t="s">
        <v>718</v>
      </c>
      <c r="B20" s="1322"/>
      <c r="C20" s="1322"/>
      <c r="D20" s="1322"/>
      <c r="E20" s="1322"/>
      <c r="F20" s="1322"/>
      <c r="G20" s="1322"/>
      <c r="H20" s="1322"/>
      <c r="I20" s="1322"/>
      <c r="J20" s="1322"/>
      <c r="K20" s="1322"/>
      <c r="L20" s="1322"/>
      <c r="M20" s="1322"/>
      <c r="N20" s="1322"/>
      <c r="O20" s="1322"/>
      <c r="P20" s="1322"/>
      <c r="Q20" s="1322"/>
      <c r="R20" s="1322"/>
      <c r="S20" s="1322"/>
      <c r="T20" s="1322"/>
      <c r="U20" s="1322"/>
      <c r="V20" s="1322"/>
      <c r="W20" s="1322"/>
      <c r="X20" s="1323"/>
    </row>
    <row r="21" spans="1:24">
      <c r="A21" s="1164" t="s">
        <v>719</v>
      </c>
      <c r="B21" s="1165"/>
      <c r="C21" s="1165"/>
      <c r="D21" s="1165"/>
      <c r="E21" s="1165"/>
      <c r="F21" s="1165"/>
      <c r="G21" s="1165"/>
      <c r="H21" s="1165"/>
      <c r="I21" s="1165"/>
      <c r="J21" s="1165"/>
      <c r="K21" s="1165"/>
      <c r="L21" s="1165"/>
      <c r="M21" s="1165"/>
      <c r="N21" s="1165"/>
      <c r="O21" s="1165"/>
      <c r="P21" s="1165"/>
      <c r="Q21" s="1165"/>
      <c r="R21" s="1165"/>
      <c r="S21" s="1165"/>
      <c r="T21" s="1165"/>
      <c r="U21" s="1165"/>
      <c r="V21" s="1165"/>
      <c r="W21" s="1165"/>
      <c r="X21" s="1393"/>
    </row>
    <row r="22" spans="1:24">
      <c r="A22" s="1643" t="s">
        <v>13</v>
      </c>
      <c r="B22" s="1644"/>
      <c r="C22" s="1644"/>
      <c r="D22" s="1644"/>
      <c r="E22" s="1644"/>
      <c r="F22" s="1644"/>
      <c r="G22" s="1644"/>
      <c r="H22" s="1644"/>
      <c r="I22" s="1644"/>
      <c r="J22" s="1644"/>
      <c r="K22" s="1644"/>
      <c r="L22" s="1641"/>
      <c r="M22" s="1640" t="s">
        <v>14</v>
      </c>
      <c r="N22" s="1644"/>
      <c r="O22" s="1644"/>
      <c r="P22" s="1641"/>
      <c r="Q22" s="1640" t="s">
        <v>121</v>
      </c>
      <c r="R22" s="1644"/>
      <c r="S22" s="1644"/>
      <c r="T22" s="1644"/>
      <c r="U22" s="1644"/>
      <c r="V22" s="1640" t="s">
        <v>15</v>
      </c>
      <c r="W22" s="1644"/>
      <c r="X22" s="1645"/>
    </row>
    <row r="23" spans="1:24">
      <c r="A23" s="1623" t="s">
        <v>16</v>
      </c>
      <c r="B23" s="1632"/>
      <c r="C23" s="1632"/>
      <c r="D23" s="1632"/>
      <c r="E23" s="1632"/>
      <c r="F23" s="1632"/>
      <c r="G23" s="1632"/>
      <c r="H23" s="1632"/>
      <c r="I23" s="1632"/>
      <c r="J23" s="1632"/>
      <c r="K23" s="1632"/>
      <c r="L23" s="1646"/>
      <c r="M23" s="614"/>
      <c r="N23" s="603"/>
      <c r="O23" s="603"/>
      <c r="P23" s="610"/>
      <c r="Q23" s="615" t="s">
        <v>122</v>
      </c>
      <c r="R23" s="1639" t="s">
        <v>123</v>
      </c>
      <c r="S23" s="1638"/>
      <c r="T23" s="1639" t="s">
        <v>124</v>
      </c>
      <c r="U23" s="1638"/>
      <c r="V23" s="1631" t="s">
        <v>17</v>
      </c>
      <c r="W23" s="1632"/>
      <c r="X23" s="1624"/>
    </row>
    <row r="24" spans="1:24">
      <c r="A24" s="1636">
        <v>1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8"/>
      <c r="M24" s="1639">
        <v>2</v>
      </c>
      <c r="N24" s="1637"/>
      <c r="O24" s="1637"/>
      <c r="P24" s="1638"/>
      <c r="Q24" s="598">
        <v>3</v>
      </c>
      <c r="R24" s="1640">
        <v>4</v>
      </c>
      <c r="S24" s="1641"/>
      <c r="T24" s="1640">
        <v>5</v>
      </c>
      <c r="U24" s="1641"/>
      <c r="V24" s="1639" t="s">
        <v>1041</v>
      </c>
      <c r="W24" s="1637"/>
      <c r="X24" s="1642"/>
    </row>
    <row r="25" spans="1:24">
      <c r="A25" s="1548" t="s">
        <v>733</v>
      </c>
      <c r="B25" s="1549"/>
      <c r="C25" s="1549"/>
      <c r="D25" s="1549"/>
      <c r="E25" s="1549"/>
      <c r="F25" s="1549"/>
      <c r="G25" s="1549"/>
      <c r="H25" s="1549"/>
      <c r="I25" s="1549"/>
      <c r="J25" s="1549"/>
      <c r="K25" s="1549"/>
      <c r="L25" s="1550"/>
      <c r="M25" s="1647" t="s">
        <v>551</v>
      </c>
      <c r="N25" s="1647"/>
      <c r="O25" s="1647"/>
      <c r="P25" s="1647"/>
      <c r="Q25" s="598"/>
      <c r="R25" s="597"/>
      <c r="S25" s="616"/>
      <c r="T25" s="597"/>
      <c r="U25" s="616"/>
      <c r="V25" s="1475">
        <f>V26</f>
        <v>12864000</v>
      </c>
      <c r="W25" s="1476"/>
      <c r="X25" s="1477"/>
    </row>
    <row r="26" spans="1:24">
      <c r="A26" s="1354" t="s">
        <v>734</v>
      </c>
      <c r="B26" s="1355"/>
      <c r="C26" s="1355"/>
      <c r="D26" s="1355"/>
      <c r="E26" s="1355"/>
      <c r="F26" s="1355"/>
      <c r="G26" s="1355"/>
      <c r="H26" s="1355"/>
      <c r="I26" s="1355"/>
      <c r="J26" s="1355"/>
      <c r="K26" s="1355"/>
      <c r="L26" s="1356"/>
      <c r="M26" s="83" t="s">
        <v>23</v>
      </c>
      <c r="N26" s="84"/>
      <c r="O26" s="84"/>
      <c r="P26" s="603"/>
      <c r="Q26" s="1620"/>
      <c r="R26" s="1599"/>
      <c r="S26" s="1609"/>
      <c r="T26" s="1600"/>
      <c r="U26" s="1609"/>
      <c r="V26" s="1424">
        <f>V27</f>
        <v>12864000</v>
      </c>
      <c r="W26" s="1424"/>
      <c r="X26" s="1425"/>
    </row>
    <row r="27" spans="1:24">
      <c r="A27" s="1354" t="s">
        <v>587</v>
      </c>
      <c r="B27" s="1355"/>
      <c r="C27" s="1355"/>
      <c r="D27" s="1355"/>
      <c r="E27" s="1355"/>
      <c r="F27" s="1355"/>
      <c r="G27" s="1355"/>
      <c r="H27" s="1355"/>
      <c r="I27" s="1355"/>
      <c r="J27" s="1355"/>
      <c r="K27" s="1355"/>
      <c r="L27" s="1356"/>
      <c r="M27" s="83" t="s">
        <v>216</v>
      </c>
      <c r="N27" s="603"/>
      <c r="O27" s="603"/>
      <c r="P27" s="603"/>
      <c r="Q27" s="1620"/>
      <c r="R27" s="1599"/>
      <c r="S27" s="1609"/>
      <c r="T27" s="1600"/>
      <c r="U27" s="1609"/>
      <c r="V27" s="1424">
        <f>V28</f>
        <v>12864000</v>
      </c>
      <c r="W27" s="1424"/>
      <c r="X27" s="1425"/>
    </row>
    <row r="28" spans="1:24">
      <c r="A28" s="1354" t="s">
        <v>588</v>
      </c>
      <c r="B28" s="1355"/>
      <c r="C28" s="1355"/>
      <c r="D28" s="1355"/>
      <c r="E28" s="1355"/>
      <c r="F28" s="1355"/>
      <c r="G28" s="1355"/>
      <c r="H28" s="1355"/>
      <c r="I28" s="1355"/>
      <c r="J28" s="1355"/>
      <c r="K28" s="1355"/>
      <c r="L28" s="1356"/>
      <c r="M28" s="93" t="s">
        <v>186</v>
      </c>
      <c r="N28" s="603"/>
      <c r="O28" s="603"/>
      <c r="P28" s="603"/>
      <c r="Q28" s="1620"/>
      <c r="R28" s="1599"/>
      <c r="S28" s="1609"/>
      <c r="T28" s="1600"/>
      <c r="U28" s="1609"/>
      <c r="V28" s="1424">
        <f>V29+V78</f>
        <v>12864000</v>
      </c>
      <c r="W28" s="1424"/>
      <c r="X28" s="1425"/>
    </row>
    <row r="29" spans="1:24" ht="24" customHeight="1">
      <c r="A29" s="1354" t="s">
        <v>589</v>
      </c>
      <c r="B29" s="1355"/>
      <c r="C29" s="1355"/>
      <c r="D29" s="1355"/>
      <c r="E29" s="1355"/>
      <c r="F29" s="1355"/>
      <c r="G29" s="1355"/>
      <c r="H29" s="1355"/>
      <c r="I29" s="1355"/>
      <c r="J29" s="1355"/>
      <c r="K29" s="1355"/>
      <c r="L29" s="1356"/>
      <c r="M29" s="1618" t="s">
        <v>591</v>
      </c>
      <c r="N29" s="1619"/>
      <c r="O29" s="1619"/>
      <c r="P29" s="1619"/>
      <c r="Q29" s="1620"/>
      <c r="R29" s="1599"/>
      <c r="S29" s="1609"/>
      <c r="T29" s="1600"/>
      <c r="U29" s="1609"/>
      <c r="V29" s="1530">
        <f>SUM(V30:X54)</f>
        <v>11124000</v>
      </c>
      <c r="W29" s="1530"/>
      <c r="X29" s="1531"/>
    </row>
    <row r="30" spans="1:24">
      <c r="A30" s="602"/>
      <c r="B30" s="603"/>
      <c r="C30" s="603"/>
      <c r="D30" s="603"/>
      <c r="E30" s="603"/>
      <c r="F30" s="603"/>
      <c r="G30" s="603"/>
      <c r="H30" s="603"/>
      <c r="I30" s="603"/>
      <c r="J30" s="603"/>
      <c r="K30" s="603"/>
      <c r="L30" s="610"/>
      <c r="M30" s="620" t="s">
        <v>271</v>
      </c>
      <c r="N30" s="603"/>
      <c r="O30" s="603"/>
      <c r="P30" s="610"/>
      <c r="Q30" s="621">
        <v>20</v>
      </c>
      <c r="R30" s="1599" t="s">
        <v>221</v>
      </c>
      <c r="S30" s="1609"/>
      <c r="T30" s="1599">
        <v>7500</v>
      </c>
      <c r="U30" s="1609"/>
      <c r="V30" s="1610">
        <f t="shared" ref="V30:V53" si="0">Q30*T30</f>
        <v>150000</v>
      </c>
      <c r="W30" s="1608"/>
      <c r="X30" s="1611"/>
    </row>
    <row r="31" spans="1:24">
      <c r="A31" s="602"/>
      <c r="B31" s="603"/>
      <c r="C31" s="603"/>
      <c r="D31" s="603"/>
      <c r="E31" s="603"/>
      <c r="F31" s="603"/>
      <c r="G31" s="603"/>
      <c r="H31" s="603"/>
      <c r="I31" s="603"/>
      <c r="J31" s="603"/>
      <c r="K31" s="603"/>
      <c r="L31" s="610"/>
      <c r="M31" s="620" t="s">
        <v>272</v>
      </c>
      <c r="N31" s="603"/>
      <c r="O31" s="603"/>
      <c r="P31" s="610"/>
      <c r="Q31" s="621">
        <v>25</v>
      </c>
      <c r="R31" s="1599" t="s">
        <v>221</v>
      </c>
      <c r="S31" s="1609"/>
      <c r="T31" s="1599">
        <v>17000</v>
      </c>
      <c r="U31" s="1609"/>
      <c r="V31" s="1610">
        <f t="shared" si="0"/>
        <v>425000</v>
      </c>
      <c r="W31" s="1608"/>
      <c r="X31" s="1611"/>
    </row>
    <row r="32" spans="1:24">
      <c r="A32" s="602"/>
      <c r="B32" s="622"/>
      <c r="C32" s="603"/>
      <c r="D32" s="622"/>
      <c r="E32" s="622"/>
      <c r="F32" s="623"/>
      <c r="G32" s="623"/>
      <c r="H32" s="623"/>
      <c r="I32" s="603"/>
      <c r="J32" s="603"/>
      <c r="K32" s="622"/>
      <c r="L32" s="624"/>
      <c r="M32" s="620" t="s">
        <v>273</v>
      </c>
      <c r="N32" s="603"/>
      <c r="O32" s="603"/>
      <c r="P32" s="610"/>
      <c r="Q32" s="621">
        <v>17</v>
      </c>
      <c r="R32" s="1599" t="s">
        <v>221</v>
      </c>
      <c r="S32" s="1609"/>
      <c r="T32" s="1599">
        <v>15000</v>
      </c>
      <c r="U32" s="1609"/>
      <c r="V32" s="1610">
        <f t="shared" si="0"/>
        <v>255000</v>
      </c>
      <c r="W32" s="1608"/>
      <c r="X32" s="1611"/>
    </row>
    <row r="33" spans="1:26">
      <c r="A33" s="602"/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10"/>
      <c r="M33" s="620" t="s">
        <v>274</v>
      </c>
      <c r="N33" s="603"/>
      <c r="O33" s="603"/>
      <c r="P33" s="610"/>
      <c r="Q33" s="621">
        <v>8</v>
      </c>
      <c r="R33" s="1599" t="s">
        <v>221</v>
      </c>
      <c r="S33" s="1609"/>
      <c r="T33" s="1599">
        <v>19000</v>
      </c>
      <c r="U33" s="1609"/>
      <c r="V33" s="1610">
        <f t="shared" si="0"/>
        <v>152000</v>
      </c>
      <c r="W33" s="1608"/>
      <c r="X33" s="1611"/>
    </row>
    <row r="34" spans="1:26">
      <c r="A34" s="602"/>
      <c r="B34" s="603"/>
      <c r="C34" s="603"/>
      <c r="D34" s="603"/>
      <c r="E34" s="603"/>
      <c r="F34" s="603"/>
      <c r="G34" s="603"/>
      <c r="H34" s="603"/>
      <c r="I34" s="603"/>
      <c r="J34" s="603"/>
      <c r="K34" s="603"/>
      <c r="L34" s="610"/>
      <c r="M34" s="620" t="s">
        <v>1098</v>
      </c>
      <c r="N34" s="603"/>
      <c r="O34" s="603"/>
      <c r="P34" s="610"/>
      <c r="Q34" s="621">
        <v>15</v>
      </c>
      <c r="R34" s="1599" t="s">
        <v>221</v>
      </c>
      <c r="S34" s="1609"/>
      <c r="T34" s="1599">
        <v>36500</v>
      </c>
      <c r="U34" s="1609"/>
      <c r="V34" s="1610">
        <f t="shared" si="0"/>
        <v>547500</v>
      </c>
      <c r="W34" s="1608"/>
      <c r="X34" s="1611"/>
    </row>
    <row r="35" spans="1:26">
      <c r="A35" s="602"/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10"/>
      <c r="M35" s="620" t="s">
        <v>1099</v>
      </c>
      <c r="N35" s="603"/>
      <c r="O35" s="603"/>
      <c r="P35" s="610"/>
      <c r="Q35" s="621">
        <v>110</v>
      </c>
      <c r="R35" s="1318" t="s">
        <v>235</v>
      </c>
      <c r="S35" s="1562"/>
      <c r="T35" s="1599">
        <v>8500</v>
      </c>
      <c r="U35" s="1609"/>
      <c r="V35" s="1610">
        <f t="shared" si="0"/>
        <v>935000</v>
      </c>
      <c r="W35" s="1608"/>
      <c r="X35" s="1611"/>
    </row>
    <row r="36" spans="1:26">
      <c r="A36" s="602"/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10"/>
      <c r="M36" s="620" t="s">
        <v>303</v>
      </c>
      <c r="N36" s="603"/>
      <c r="O36" s="603"/>
      <c r="P36" s="610"/>
      <c r="Q36" s="621">
        <v>150</v>
      </c>
      <c r="R36" s="1318" t="s">
        <v>221</v>
      </c>
      <c r="S36" s="1562"/>
      <c r="T36" s="1599">
        <v>13500</v>
      </c>
      <c r="U36" s="1609"/>
      <c r="V36" s="1610">
        <f>Q36*T36</f>
        <v>2025000</v>
      </c>
      <c r="W36" s="1608"/>
      <c r="X36" s="1611"/>
    </row>
    <row r="37" spans="1:26">
      <c r="A37" s="602"/>
      <c r="B37" s="603"/>
      <c r="C37" s="603"/>
      <c r="D37" s="603"/>
      <c r="E37" s="603"/>
      <c r="F37" s="603"/>
      <c r="G37" s="603"/>
      <c r="H37" s="603"/>
      <c r="I37" s="603"/>
      <c r="J37" s="603"/>
      <c r="K37" s="603"/>
      <c r="L37" s="610"/>
      <c r="M37" s="620" t="s">
        <v>275</v>
      </c>
      <c r="N37" s="603"/>
      <c r="O37" s="603"/>
      <c r="P37" s="610"/>
      <c r="Q37" s="621">
        <v>15</v>
      </c>
      <c r="R37" s="1599" t="s">
        <v>221</v>
      </c>
      <c r="S37" s="1609"/>
      <c r="T37" s="1599">
        <v>23000</v>
      </c>
      <c r="U37" s="1609"/>
      <c r="V37" s="1610">
        <f t="shared" si="0"/>
        <v>345000</v>
      </c>
      <c r="W37" s="1608"/>
      <c r="X37" s="1611"/>
    </row>
    <row r="38" spans="1:26">
      <c r="A38" s="602"/>
      <c r="B38" s="603"/>
      <c r="C38" s="603"/>
      <c r="D38" s="603"/>
      <c r="E38" s="603"/>
      <c r="F38" s="603"/>
      <c r="G38" s="603"/>
      <c r="H38" s="603"/>
      <c r="I38" s="603"/>
      <c r="J38" s="603"/>
      <c r="K38" s="603"/>
      <c r="L38" s="610"/>
      <c r="M38" s="620" t="s">
        <v>989</v>
      </c>
      <c r="N38" s="603"/>
      <c r="O38" s="603"/>
      <c r="P38" s="610"/>
      <c r="Q38" s="621">
        <v>20</v>
      </c>
      <c r="R38" s="1599" t="s">
        <v>231</v>
      </c>
      <c r="S38" s="1609"/>
      <c r="T38" s="1599">
        <v>17000</v>
      </c>
      <c r="U38" s="1609"/>
      <c r="V38" s="1610">
        <f>Q38*T38</f>
        <v>340000</v>
      </c>
      <c r="W38" s="1608"/>
      <c r="X38" s="1611"/>
    </row>
    <row r="39" spans="1:26">
      <c r="A39" s="602"/>
      <c r="B39" s="603"/>
      <c r="C39" s="603"/>
      <c r="D39" s="603"/>
      <c r="E39" s="603"/>
      <c r="F39" s="603"/>
      <c r="G39" s="603"/>
      <c r="H39" s="603"/>
      <c r="I39" s="603"/>
      <c r="J39" s="603"/>
      <c r="K39" s="603"/>
      <c r="L39" s="610"/>
      <c r="M39" s="620" t="s">
        <v>1097</v>
      </c>
      <c r="N39" s="603"/>
      <c r="O39" s="603"/>
      <c r="P39" s="610"/>
      <c r="Q39" s="621">
        <v>15</v>
      </c>
      <c r="R39" s="1599" t="s">
        <v>221</v>
      </c>
      <c r="S39" s="1609"/>
      <c r="T39" s="1599">
        <v>20500</v>
      </c>
      <c r="U39" s="1609"/>
      <c r="V39" s="1610">
        <f t="shared" si="0"/>
        <v>307500</v>
      </c>
      <c r="W39" s="1608"/>
      <c r="X39" s="1611"/>
    </row>
    <row r="40" spans="1:26">
      <c r="A40" s="602"/>
      <c r="B40" s="603"/>
      <c r="C40" s="603"/>
      <c r="D40" s="603"/>
      <c r="E40" s="603"/>
      <c r="F40" s="603"/>
      <c r="G40" s="603"/>
      <c r="H40" s="603"/>
      <c r="I40" s="603"/>
      <c r="J40" s="603"/>
      <c r="K40" s="603"/>
      <c r="L40" s="610"/>
      <c r="M40" s="620" t="s">
        <v>276</v>
      </c>
      <c r="N40" s="603"/>
      <c r="O40" s="603"/>
      <c r="P40" s="610"/>
      <c r="Q40" s="621">
        <v>26</v>
      </c>
      <c r="R40" s="1318" t="s">
        <v>278</v>
      </c>
      <c r="S40" s="1562"/>
      <c r="T40" s="1599">
        <v>10000</v>
      </c>
      <c r="U40" s="1609"/>
      <c r="V40" s="1610">
        <f t="shared" si="0"/>
        <v>260000</v>
      </c>
      <c r="W40" s="1608"/>
      <c r="X40" s="1611"/>
      <c r="Z40">
        <f>264000/10238</f>
        <v>25.786286384059387</v>
      </c>
    </row>
    <row r="41" spans="1:26">
      <c r="A41" s="602"/>
      <c r="B41" s="603"/>
      <c r="C41" s="603"/>
      <c r="D41" s="603"/>
      <c r="E41" s="603"/>
      <c r="F41" s="603"/>
      <c r="G41" s="603"/>
      <c r="H41" s="603"/>
      <c r="I41" s="603"/>
      <c r="J41" s="603"/>
      <c r="K41" s="603"/>
      <c r="L41" s="610"/>
      <c r="M41" s="620" t="s">
        <v>277</v>
      </c>
      <c r="N41" s="603"/>
      <c r="O41" s="603"/>
      <c r="P41" s="610"/>
      <c r="Q41" s="621">
        <v>32</v>
      </c>
      <c r="R41" s="1599" t="s">
        <v>278</v>
      </c>
      <c r="S41" s="1609"/>
      <c r="T41" s="1599">
        <v>15000</v>
      </c>
      <c r="U41" s="1609"/>
      <c r="V41" s="1610">
        <f t="shared" si="0"/>
        <v>480000</v>
      </c>
      <c r="W41" s="1608"/>
      <c r="X41" s="1611"/>
    </row>
    <row r="42" spans="1:26">
      <c r="A42" s="602"/>
      <c r="B42" s="603"/>
      <c r="C42" s="603"/>
      <c r="D42" s="603"/>
      <c r="E42" s="603"/>
      <c r="F42" s="603"/>
      <c r="G42" s="603"/>
      <c r="H42" s="603"/>
      <c r="I42" s="603"/>
      <c r="J42" s="603"/>
      <c r="K42" s="603"/>
      <c r="L42" s="610"/>
      <c r="M42" s="620" t="s">
        <v>304</v>
      </c>
      <c r="N42" s="603"/>
      <c r="O42" s="603"/>
      <c r="P42" s="610" t="s">
        <v>131</v>
      </c>
      <c r="Q42" s="621">
        <v>40</v>
      </c>
      <c r="R42" s="1599" t="s">
        <v>237</v>
      </c>
      <c r="S42" s="1609"/>
      <c r="T42" s="1599">
        <v>7500</v>
      </c>
      <c r="U42" s="1609"/>
      <c r="V42" s="1610">
        <f t="shared" si="0"/>
        <v>300000</v>
      </c>
      <c r="W42" s="1608"/>
      <c r="X42" s="1611"/>
      <c r="Z42" s="78" t="e">
        <f>#REF!-264000</f>
        <v>#REF!</v>
      </c>
    </row>
    <row r="43" spans="1:26">
      <c r="A43" s="602"/>
      <c r="B43" s="622"/>
      <c r="C43" s="603"/>
      <c r="D43" s="603"/>
      <c r="E43" s="603"/>
      <c r="F43" s="603"/>
      <c r="G43" s="603"/>
      <c r="H43" s="603"/>
      <c r="I43" s="603"/>
      <c r="J43" s="603"/>
      <c r="K43" s="603"/>
      <c r="L43" s="610"/>
      <c r="M43" s="620" t="s">
        <v>279</v>
      </c>
      <c r="N43" s="603"/>
      <c r="O43" s="603"/>
      <c r="P43" s="610"/>
      <c r="Q43" s="621">
        <v>25</v>
      </c>
      <c r="R43" s="1599" t="s">
        <v>221</v>
      </c>
      <c r="S43" s="1609"/>
      <c r="T43" s="1599">
        <v>14500</v>
      </c>
      <c r="U43" s="1609"/>
      <c r="V43" s="1610">
        <f t="shared" si="0"/>
        <v>362500</v>
      </c>
      <c r="W43" s="1608"/>
      <c r="X43" s="1611"/>
    </row>
    <row r="44" spans="1:26">
      <c r="A44" s="602"/>
      <c r="B44" s="622"/>
      <c r="C44" s="603"/>
      <c r="D44" s="622"/>
      <c r="E44" s="622"/>
      <c r="F44" s="623"/>
      <c r="G44" s="623"/>
      <c r="H44" s="623"/>
      <c r="I44" s="603"/>
      <c r="J44" s="603"/>
      <c r="K44" s="622"/>
      <c r="L44" s="624"/>
      <c r="M44" s="620" t="s">
        <v>280</v>
      </c>
      <c r="N44" s="603"/>
      <c r="O44" s="603"/>
      <c r="P44" s="610"/>
      <c r="Q44" s="621">
        <v>25</v>
      </c>
      <c r="R44" s="1599" t="s">
        <v>221</v>
      </c>
      <c r="S44" s="1609"/>
      <c r="T44" s="1599">
        <v>12500</v>
      </c>
      <c r="U44" s="1609"/>
      <c r="V44" s="1610">
        <f t="shared" si="0"/>
        <v>312500</v>
      </c>
      <c r="W44" s="1608"/>
      <c r="X44" s="1611"/>
    </row>
    <row r="45" spans="1:26">
      <c r="A45" s="602"/>
      <c r="B45" s="603"/>
      <c r="C45" s="603"/>
      <c r="D45" s="603"/>
      <c r="E45" s="603"/>
      <c r="F45" s="603"/>
      <c r="G45" s="603"/>
      <c r="H45" s="603"/>
      <c r="I45" s="603"/>
      <c r="J45" s="603"/>
      <c r="K45" s="603"/>
      <c r="L45" s="610"/>
      <c r="M45" s="620" t="s">
        <v>281</v>
      </c>
      <c r="N45" s="603"/>
      <c r="O45" s="603"/>
      <c r="P45" s="610"/>
      <c r="Q45" s="621">
        <v>100</v>
      </c>
      <c r="R45" s="1599" t="s">
        <v>230</v>
      </c>
      <c r="S45" s="1609"/>
      <c r="T45" s="1599">
        <v>13000</v>
      </c>
      <c r="U45" s="1609"/>
      <c r="V45" s="1610">
        <f t="shared" si="0"/>
        <v>1300000</v>
      </c>
      <c r="W45" s="1608"/>
      <c r="X45" s="1611"/>
    </row>
    <row r="46" spans="1:26">
      <c r="A46" s="602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10"/>
      <c r="M46" s="620" t="s">
        <v>282</v>
      </c>
      <c r="N46" s="603"/>
      <c r="O46" s="603"/>
      <c r="P46" s="610"/>
      <c r="Q46" s="621">
        <v>15</v>
      </c>
      <c r="R46" s="1599" t="s">
        <v>221</v>
      </c>
      <c r="S46" s="1609"/>
      <c r="T46" s="1599">
        <v>18000</v>
      </c>
      <c r="U46" s="1609"/>
      <c r="V46" s="1610">
        <f t="shared" si="0"/>
        <v>270000</v>
      </c>
      <c r="W46" s="1608"/>
      <c r="X46" s="1611"/>
    </row>
    <row r="47" spans="1:26">
      <c r="A47" s="602"/>
      <c r="B47" s="603"/>
      <c r="C47" s="603"/>
      <c r="D47" s="603"/>
      <c r="E47" s="603"/>
      <c r="F47" s="603"/>
      <c r="G47" s="603"/>
      <c r="H47" s="603"/>
      <c r="I47" s="603"/>
      <c r="J47" s="603"/>
      <c r="K47" s="603"/>
      <c r="L47" s="610"/>
      <c r="M47" s="620" t="s">
        <v>302</v>
      </c>
      <c r="N47" s="603"/>
      <c r="O47" s="603"/>
      <c r="P47" s="610"/>
      <c r="Q47" s="621">
        <v>10</v>
      </c>
      <c r="R47" s="1599" t="s">
        <v>221</v>
      </c>
      <c r="S47" s="1609"/>
      <c r="T47" s="1599">
        <v>15500</v>
      </c>
      <c r="U47" s="1609"/>
      <c r="V47" s="1610">
        <f t="shared" si="0"/>
        <v>155000</v>
      </c>
      <c r="W47" s="1608"/>
      <c r="X47" s="1611"/>
    </row>
    <row r="48" spans="1:26">
      <c r="A48" s="602"/>
      <c r="B48" s="603"/>
      <c r="C48" s="603"/>
      <c r="D48" s="603"/>
      <c r="E48" s="603"/>
      <c r="F48" s="603"/>
      <c r="G48" s="603"/>
      <c r="H48" s="603"/>
      <c r="I48" s="603"/>
      <c r="J48" s="603"/>
      <c r="K48" s="603"/>
      <c r="L48" s="610"/>
      <c r="M48" s="620" t="s">
        <v>283</v>
      </c>
      <c r="N48" s="603"/>
      <c r="O48" s="603"/>
      <c r="P48" s="610"/>
      <c r="Q48" s="621">
        <v>15</v>
      </c>
      <c r="R48" s="1599" t="s">
        <v>221</v>
      </c>
      <c r="S48" s="1609"/>
      <c r="T48" s="1599">
        <v>14000</v>
      </c>
      <c r="U48" s="1609"/>
      <c r="V48" s="1610">
        <f t="shared" si="0"/>
        <v>210000</v>
      </c>
      <c r="W48" s="1608"/>
      <c r="X48" s="1611"/>
    </row>
    <row r="49" spans="1:27">
      <c r="A49" s="602"/>
      <c r="B49" s="603"/>
      <c r="C49" s="603"/>
      <c r="D49" s="603"/>
      <c r="E49" s="603"/>
      <c r="F49" s="603"/>
      <c r="G49" s="603"/>
      <c r="H49" s="603"/>
      <c r="I49" s="603"/>
      <c r="J49" s="603"/>
      <c r="K49" s="603"/>
      <c r="L49" s="610"/>
      <c r="M49" s="620" t="s">
        <v>468</v>
      </c>
      <c r="N49" s="603"/>
      <c r="O49" s="603"/>
      <c r="P49" s="610"/>
      <c r="Q49" s="621">
        <v>15</v>
      </c>
      <c r="R49" s="1599" t="s">
        <v>221</v>
      </c>
      <c r="S49" s="1609"/>
      <c r="T49" s="1599">
        <v>16000</v>
      </c>
      <c r="U49" s="1609"/>
      <c r="V49" s="1610">
        <f>Q49*T49</f>
        <v>240000</v>
      </c>
      <c r="W49" s="1608"/>
      <c r="X49" s="1611"/>
    </row>
    <row r="50" spans="1:27">
      <c r="A50" s="602"/>
      <c r="B50" s="603"/>
      <c r="C50" s="603"/>
      <c r="D50" s="603"/>
      <c r="E50" s="603"/>
      <c r="F50" s="603"/>
      <c r="G50" s="603"/>
      <c r="H50" s="603"/>
      <c r="I50" s="603"/>
      <c r="J50" s="603"/>
      <c r="K50" s="603"/>
      <c r="L50" s="610"/>
      <c r="M50" s="620" t="s">
        <v>284</v>
      </c>
      <c r="N50" s="603"/>
      <c r="O50" s="603"/>
      <c r="P50" s="610"/>
      <c r="Q50" s="621">
        <v>80</v>
      </c>
      <c r="R50" s="1599" t="s">
        <v>278</v>
      </c>
      <c r="S50" s="1609"/>
      <c r="T50" s="1599">
        <v>8500</v>
      </c>
      <c r="U50" s="1609"/>
      <c r="V50" s="1610">
        <f>Q50*T50</f>
        <v>680000</v>
      </c>
      <c r="W50" s="1608"/>
      <c r="X50" s="1611"/>
      <c r="Z50" s="332">
        <f>V78-10720000</f>
        <v>-8980000</v>
      </c>
      <c r="AA50" s="332">
        <f>V81-10720000</f>
        <v>2144000</v>
      </c>
    </row>
    <row r="51" spans="1:27">
      <c r="A51" s="602"/>
      <c r="B51" s="603"/>
      <c r="C51" s="603"/>
      <c r="D51" s="603"/>
      <c r="E51" s="603"/>
      <c r="F51" s="603"/>
      <c r="G51" s="603"/>
      <c r="H51" s="603"/>
      <c r="I51" s="603"/>
      <c r="J51" s="603"/>
      <c r="K51" s="603"/>
      <c r="L51" s="610"/>
      <c r="M51" s="620" t="s">
        <v>285</v>
      </c>
      <c r="N51" s="603"/>
      <c r="O51" s="603"/>
      <c r="P51" s="610"/>
      <c r="Q51" s="621">
        <v>10</v>
      </c>
      <c r="R51" s="1599" t="s">
        <v>221</v>
      </c>
      <c r="S51" s="1609"/>
      <c r="T51" s="1599">
        <v>17000</v>
      </c>
      <c r="U51" s="1609"/>
      <c r="V51" s="1610">
        <f t="shared" si="0"/>
        <v>170000</v>
      </c>
      <c r="W51" s="1608"/>
      <c r="X51" s="1611"/>
    </row>
    <row r="52" spans="1:27">
      <c r="A52" s="602"/>
      <c r="B52" s="603"/>
      <c r="C52" s="603"/>
      <c r="D52" s="603"/>
      <c r="E52" s="603"/>
      <c r="F52" s="603"/>
      <c r="G52" s="603"/>
      <c r="H52" s="603"/>
      <c r="I52" s="603"/>
      <c r="J52" s="603"/>
      <c r="K52" s="603"/>
      <c r="L52" s="610"/>
      <c r="M52" s="620" t="s">
        <v>467</v>
      </c>
      <c r="N52" s="603"/>
      <c r="O52" s="603"/>
      <c r="P52" s="610"/>
      <c r="Q52" s="621">
        <v>40</v>
      </c>
      <c r="R52" s="1599" t="s">
        <v>239</v>
      </c>
      <c r="S52" s="1609"/>
      <c r="T52" s="1599">
        <v>3500</v>
      </c>
      <c r="U52" s="1609"/>
      <c r="V52" s="1610">
        <f>Q52*T52</f>
        <v>140000</v>
      </c>
      <c r="W52" s="1608"/>
      <c r="X52" s="1611"/>
    </row>
    <row r="53" spans="1:27">
      <c r="A53" s="602"/>
      <c r="B53" s="603"/>
      <c r="C53" s="603"/>
      <c r="D53" s="603"/>
      <c r="E53" s="603"/>
      <c r="F53" s="603"/>
      <c r="G53" s="603"/>
      <c r="H53" s="603"/>
      <c r="I53" s="603"/>
      <c r="J53" s="603"/>
      <c r="K53" s="603"/>
      <c r="L53" s="610"/>
      <c r="M53" s="620" t="s">
        <v>286</v>
      </c>
      <c r="N53" s="603"/>
      <c r="O53" s="603"/>
      <c r="P53" s="610"/>
      <c r="Q53" s="621">
        <v>6</v>
      </c>
      <c r="R53" s="1599" t="s">
        <v>221</v>
      </c>
      <c r="S53" s="1609"/>
      <c r="T53" s="1599">
        <v>36000</v>
      </c>
      <c r="U53" s="1609"/>
      <c r="V53" s="1610">
        <f t="shared" si="0"/>
        <v>216000</v>
      </c>
      <c r="W53" s="1608"/>
      <c r="X53" s="1611"/>
    </row>
    <row r="54" spans="1:27" ht="15.75" thickBot="1">
      <c r="A54" s="602"/>
      <c r="B54" s="603"/>
      <c r="C54" s="603"/>
      <c r="D54" s="603"/>
      <c r="E54" s="603"/>
      <c r="F54" s="603"/>
      <c r="G54" s="603"/>
      <c r="H54" s="603"/>
      <c r="I54" s="603"/>
      <c r="J54" s="603"/>
      <c r="K54" s="603"/>
      <c r="L54" s="603"/>
      <c r="M54" s="620" t="s">
        <v>287</v>
      </c>
      <c r="N54" s="603"/>
      <c r="O54" s="603"/>
      <c r="P54" s="603"/>
      <c r="Q54" s="625">
        <v>4</v>
      </c>
      <c r="R54" s="1599" t="s">
        <v>221</v>
      </c>
      <c r="S54" s="1609"/>
      <c r="T54" s="1599">
        <v>136500</v>
      </c>
      <c r="U54" s="1609"/>
      <c r="V54" s="1610">
        <f>Q54*T54</f>
        <v>546000</v>
      </c>
      <c r="W54" s="1608"/>
      <c r="X54" s="1611"/>
    </row>
    <row r="55" spans="1:27">
      <c r="A55" s="1648" t="s">
        <v>909</v>
      </c>
      <c r="B55" s="1649"/>
      <c r="C55" s="1649"/>
      <c r="D55" s="1649"/>
      <c r="E55" s="1649"/>
      <c r="F55" s="1649"/>
      <c r="G55" s="1649"/>
      <c r="H55" s="1649"/>
      <c r="I55" s="1649"/>
      <c r="J55" s="1649"/>
      <c r="K55" s="1649"/>
      <c r="L55" s="1649"/>
      <c r="M55" s="1649"/>
      <c r="N55" s="1650"/>
      <c r="O55" s="1657">
        <v>1</v>
      </c>
      <c r="P55" s="1658"/>
      <c r="Q55" s="1658"/>
      <c r="R55" s="1658"/>
      <c r="S55" s="1659"/>
      <c r="T55" s="1657">
        <v>2</v>
      </c>
      <c r="U55" s="1658"/>
      <c r="V55" s="1658"/>
      <c r="W55" s="1658"/>
      <c r="X55" s="1659"/>
    </row>
    <row r="56" spans="1:27">
      <c r="A56" s="1651"/>
      <c r="B56" s="1652"/>
      <c r="C56" s="1652"/>
      <c r="D56" s="1652"/>
      <c r="E56" s="1652"/>
      <c r="F56" s="1652"/>
      <c r="G56" s="1652"/>
      <c r="H56" s="1652"/>
      <c r="I56" s="1652"/>
      <c r="J56" s="1652"/>
      <c r="K56" s="1652"/>
      <c r="L56" s="1652"/>
      <c r="M56" s="1652"/>
      <c r="N56" s="1653"/>
      <c r="O56" s="1660"/>
      <c r="P56" s="1661"/>
      <c r="Q56" s="1661"/>
      <c r="R56" s="1661"/>
      <c r="S56" s="1662"/>
      <c r="T56" s="1660"/>
      <c r="U56" s="1661"/>
      <c r="V56" s="1661"/>
      <c r="W56" s="1661"/>
      <c r="X56" s="1662"/>
    </row>
    <row r="57" spans="1:27" ht="7.5" customHeight="1" thickBot="1">
      <c r="A57" s="1654"/>
      <c r="B57" s="1655"/>
      <c r="C57" s="1655"/>
      <c r="D57" s="1655"/>
      <c r="E57" s="1655"/>
      <c r="F57" s="1655"/>
      <c r="G57" s="1655"/>
      <c r="H57" s="1655"/>
      <c r="I57" s="1655"/>
      <c r="J57" s="1655"/>
      <c r="K57" s="1655"/>
      <c r="L57" s="1655"/>
      <c r="M57" s="1655"/>
      <c r="N57" s="1656"/>
      <c r="O57" s="1663"/>
      <c r="P57" s="1664"/>
      <c r="Q57" s="1664"/>
      <c r="R57" s="1664"/>
      <c r="S57" s="1665"/>
      <c r="T57" s="1663"/>
      <c r="U57" s="1664"/>
      <c r="V57" s="1664"/>
      <c r="W57" s="1664"/>
      <c r="X57" s="1665"/>
    </row>
    <row r="58" spans="1:27">
      <c r="A58" s="626"/>
      <c r="B58" s="626"/>
      <c r="C58" s="626"/>
      <c r="D58" s="626"/>
      <c r="E58" s="626"/>
      <c r="F58" s="626"/>
      <c r="G58" s="626"/>
      <c r="H58" s="626"/>
      <c r="I58" s="626"/>
      <c r="J58" s="626"/>
      <c r="K58" s="626"/>
      <c r="L58" s="626"/>
      <c r="M58" s="627"/>
      <c r="N58" s="626"/>
      <c r="O58" s="626"/>
      <c r="P58" s="626"/>
      <c r="Q58" s="628"/>
      <c r="R58" s="629"/>
      <c r="S58" s="629"/>
      <c r="T58" s="629"/>
      <c r="U58" s="629"/>
      <c r="V58" s="630"/>
      <c r="W58" s="630"/>
      <c r="X58" s="630"/>
    </row>
    <row r="59" spans="1:27">
      <c r="A59" s="603"/>
      <c r="B59" s="603"/>
      <c r="C59" s="603"/>
      <c r="D59" s="603"/>
      <c r="E59" s="603"/>
      <c r="F59" s="603"/>
      <c r="G59" s="603"/>
      <c r="H59" s="603"/>
      <c r="I59" s="603"/>
      <c r="J59" s="603"/>
      <c r="K59" s="603"/>
      <c r="L59" s="603"/>
      <c r="M59" s="622"/>
      <c r="N59" s="603"/>
      <c r="O59" s="603"/>
      <c r="P59" s="603"/>
      <c r="Q59" s="631"/>
      <c r="R59" s="632"/>
      <c r="S59" s="632"/>
      <c r="T59" s="632"/>
      <c r="U59" s="632"/>
      <c r="V59" s="633"/>
      <c r="W59" s="633"/>
      <c r="X59" s="633"/>
    </row>
    <row r="60" spans="1:27">
      <c r="A60" s="603"/>
      <c r="B60" s="603"/>
      <c r="C60" s="603"/>
      <c r="D60" s="603"/>
      <c r="E60" s="603"/>
      <c r="F60" s="603"/>
      <c r="G60" s="603"/>
      <c r="H60" s="603"/>
      <c r="I60" s="603"/>
      <c r="J60" s="603"/>
      <c r="K60" s="603"/>
      <c r="L60" s="603"/>
      <c r="M60" s="622"/>
      <c r="N60" s="603"/>
      <c r="O60" s="603"/>
      <c r="P60" s="603"/>
      <c r="Q60" s="631"/>
      <c r="R60" s="632"/>
      <c r="S60" s="632"/>
      <c r="T60" s="632"/>
      <c r="U60" s="632"/>
      <c r="V60" s="633"/>
      <c r="W60" s="633"/>
      <c r="X60" s="633"/>
    </row>
    <row r="61" spans="1:27">
      <c r="A61" s="603"/>
      <c r="B61" s="603"/>
      <c r="C61" s="603"/>
      <c r="D61" s="603"/>
      <c r="E61" s="603"/>
      <c r="F61" s="603"/>
      <c r="G61" s="603"/>
      <c r="H61" s="603"/>
      <c r="I61" s="603"/>
      <c r="J61" s="603"/>
      <c r="K61" s="603"/>
      <c r="L61" s="603"/>
      <c r="M61" s="622"/>
      <c r="N61" s="603"/>
      <c r="O61" s="603"/>
      <c r="P61" s="603"/>
      <c r="Q61" s="631"/>
      <c r="R61" s="632"/>
      <c r="S61" s="632"/>
      <c r="T61" s="632"/>
      <c r="U61" s="632"/>
      <c r="V61" s="633"/>
      <c r="W61" s="633"/>
      <c r="X61" s="633"/>
    </row>
    <row r="62" spans="1:27">
      <c r="A62" s="603"/>
      <c r="B62" s="603"/>
      <c r="C62" s="603"/>
      <c r="D62" s="603"/>
      <c r="E62" s="603"/>
      <c r="F62" s="603"/>
      <c r="G62" s="603"/>
      <c r="H62" s="603"/>
      <c r="I62" s="603"/>
      <c r="J62" s="603"/>
      <c r="K62" s="603"/>
      <c r="L62" s="603"/>
      <c r="M62" s="622"/>
      <c r="N62" s="603"/>
      <c r="O62" s="603"/>
      <c r="P62" s="603"/>
      <c r="Q62" s="631"/>
      <c r="R62" s="632"/>
      <c r="S62" s="632"/>
      <c r="T62" s="632"/>
      <c r="U62" s="632"/>
      <c r="V62" s="633"/>
      <c r="W62" s="633"/>
      <c r="X62" s="633"/>
    </row>
    <row r="63" spans="1:27">
      <c r="A63" s="603"/>
      <c r="B63" s="603"/>
      <c r="C63" s="603"/>
      <c r="D63" s="603"/>
      <c r="E63" s="603"/>
      <c r="F63" s="603"/>
      <c r="G63" s="603"/>
      <c r="H63" s="603"/>
      <c r="I63" s="603"/>
      <c r="J63" s="603"/>
      <c r="K63" s="603"/>
      <c r="L63" s="603"/>
      <c r="M63" s="622"/>
      <c r="N63" s="603"/>
      <c r="O63" s="603"/>
      <c r="P63" s="603"/>
      <c r="Q63" s="631"/>
      <c r="R63" s="632"/>
      <c r="S63" s="632"/>
      <c r="T63" s="632"/>
      <c r="U63" s="632"/>
      <c r="V63" s="633"/>
      <c r="W63" s="633"/>
      <c r="X63" s="633"/>
    </row>
    <row r="64" spans="1:27">
      <c r="A64" s="603"/>
      <c r="B64" s="603"/>
      <c r="C64" s="603"/>
      <c r="D64" s="603"/>
      <c r="E64" s="603"/>
      <c r="F64" s="603"/>
      <c r="G64" s="603"/>
      <c r="H64" s="603"/>
      <c r="I64" s="603"/>
      <c r="J64" s="603"/>
      <c r="K64" s="603"/>
      <c r="L64" s="603"/>
      <c r="M64" s="622"/>
      <c r="N64" s="603"/>
      <c r="O64" s="603"/>
      <c r="P64" s="603"/>
      <c r="Q64" s="631"/>
      <c r="R64" s="632"/>
      <c r="S64" s="632"/>
      <c r="T64" s="632"/>
      <c r="U64" s="632"/>
      <c r="V64" s="633"/>
      <c r="W64" s="633"/>
      <c r="X64" s="633"/>
    </row>
    <row r="65" spans="1:24">
      <c r="A65" s="603"/>
      <c r="B65" s="603"/>
      <c r="C65" s="603"/>
      <c r="D65" s="603"/>
      <c r="E65" s="603"/>
      <c r="F65" s="603"/>
      <c r="G65" s="603"/>
      <c r="H65" s="603"/>
      <c r="I65" s="603"/>
      <c r="J65" s="603"/>
      <c r="K65" s="603"/>
      <c r="L65" s="603"/>
      <c r="M65" s="622"/>
      <c r="N65" s="603"/>
      <c r="O65" s="603"/>
      <c r="P65" s="603"/>
      <c r="Q65" s="631"/>
      <c r="R65" s="632"/>
      <c r="S65" s="632"/>
      <c r="T65" s="632"/>
      <c r="U65" s="632"/>
      <c r="V65" s="633"/>
      <c r="W65" s="633"/>
      <c r="X65" s="633"/>
    </row>
    <row r="66" spans="1:24">
      <c r="A66" s="603"/>
      <c r="B66" s="603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22"/>
      <c r="N66" s="603"/>
      <c r="O66" s="603"/>
      <c r="P66" s="603"/>
      <c r="Q66" s="631"/>
      <c r="R66" s="632"/>
      <c r="S66" s="632"/>
      <c r="T66" s="632"/>
      <c r="U66" s="632"/>
      <c r="V66" s="633"/>
      <c r="W66" s="633"/>
      <c r="X66" s="633"/>
    </row>
    <row r="67" spans="1:24">
      <c r="A67" s="603"/>
      <c r="B67" s="603"/>
      <c r="C67" s="603"/>
      <c r="D67" s="603"/>
      <c r="E67" s="603"/>
      <c r="F67" s="603"/>
      <c r="G67" s="603"/>
      <c r="H67" s="603"/>
      <c r="I67" s="603"/>
      <c r="J67" s="603"/>
      <c r="K67" s="603"/>
      <c r="L67" s="603"/>
      <c r="M67" s="622"/>
      <c r="N67" s="603"/>
      <c r="O67" s="603"/>
      <c r="P67" s="603"/>
      <c r="Q67" s="631"/>
      <c r="R67" s="632"/>
      <c r="S67" s="632"/>
      <c r="T67" s="632"/>
      <c r="U67" s="632"/>
      <c r="V67" s="633"/>
      <c r="W67" s="633"/>
      <c r="X67" s="633"/>
    </row>
    <row r="68" spans="1:24">
      <c r="A68" s="603"/>
      <c r="B68" s="603"/>
      <c r="C68" s="603"/>
      <c r="D68" s="603"/>
      <c r="E68" s="603"/>
      <c r="F68" s="603"/>
      <c r="G68" s="603"/>
      <c r="H68" s="603"/>
      <c r="I68" s="603"/>
      <c r="J68" s="603"/>
      <c r="K68" s="603"/>
      <c r="L68" s="603"/>
      <c r="M68" s="622"/>
      <c r="N68" s="603"/>
      <c r="O68" s="603"/>
      <c r="P68" s="603"/>
      <c r="Q68" s="631"/>
      <c r="R68" s="632"/>
      <c r="S68" s="632"/>
      <c r="T68" s="632"/>
      <c r="U68" s="632"/>
      <c r="V68" s="633"/>
      <c r="W68" s="633"/>
      <c r="X68" s="633"/>
    </row>
    <row r="69" spans="1:24">
      <c r="A69" s="603"/>
      <c r="B69" s="603"/>
      <c r="C69" s="603"/>
      <c r="D69" s="603"/>
      <c r="E69" s="603"/>
      <c r="F69" s="603"/>
      <c r="G69" s="603"/>
      <c r="H69" s="603"/>
      <c r="I69" s="603"/>
      <c r="J69" s="603"/>
      <c r="K69" s="603"/>
      <c r="L69" s="603"/>
      <c r="M69" s="622"/>
      <c r="N69" s="603"/>
      <c r="O69" s="603"/>
      <c r="P69" s="603"/>
      <c r="Q69" s="631"/>
      <c r="R69" s="632"/>
      <c r="S69" s="632"/>
      <c r="T69" s="632"/>
      <c r="U69" s="632"/>
      <c r="V69" s="633"/>
      <c r="W69" s="633"/>
      <c r="X69" s="633"/>
    </row>
    <row r="70" spans="1:24">
      <c r="A70" s="603"/>
      <c r="B70" s="603"/>
      <c r="C70" s="603"/>
      <c r="D70" s="603"/>
      <c r="E70" s="603"/>
      <c r="F70" s="603"/>
      <c r="G70" s="603"/>
      <c r="H70" s="603"/>
      <c r="I70" s="603"/>
      <c r="J70" s="603"/>
      <c r="K70" s="603"/>
      <c r="L70" s="603"/>
      <c r="M70" s="622"/>
      <c r="N70" s="603"/>
      <c r="O70" s="603"/>
      <c r="P70" s="603"/>
      <c r="Q70" s="631"/>
      <c r="R70" s="632"/>
      <c r="S70" s="632"/>
      <c r="T70" s="632"/>
      <c r="U70" s="632"/>
      <c r="V70" s="633"/>
      <c r="W70" s="633"/>
      <c r="X70" s="633"/>
    </row>
    <row r="71" spans="1:24">
      <c r="A71" s="603"/>
      <c r="B71" s="603"/>
      <c r="C71" s="603"/>
      <c r="D71" s="603"/>
      <c r="E71" s="603"/>
      <c r="F71" s="603"/>
      <c r="G71" s="603"/>
      <c r="H71" s="603"/>
      <c r="I71" s="603"/>
      <c r="J71" s="603"/>
      <c r="K71" s="603"/>
      <c r="L71" s="603"/>
      <c r="M71" s="622"/>
      <c r="N71" s="603"/>
      <c r="O71" s="603"/>
      <c r="P71" s="603"/>
      <c r="Q71" s="631"/>
      <c r="R71" s="632"/>
      <c r="S71" s="632"/>
      <c r="T71" s="632"/>
      <c r="U71" s="632"/>
      <c r="V71" s="633"/>
      <c r="W71" s="633"/>
      <c r="X71" s="633"/>
    </row>
    <row r="72" spans="1:24">
      <c r="A72" s="603"/>
      <c r="B72" s="603"/>
      <c r="C72" s="603"/>
      <c r="D72" s="603"/>
      <c r="E72" s="603"/>
      <c r="F72" s="603"/>
      <c r="G72" s="603"/>
      <c r="H72" s="603"/>
      <c r="I72" s="603"/>
      <c r="J72" s="603"/>
      <c r="K72" s="603"/>
      <c r="L72" s="603"/>
      <c r="M72" s="622"/>
      <c r="N72" s="603"/>
      <c r="O72" s="603"/>
      <c r="P72" s="603"/>
      <c r="Q72" s="631"/>
      <c r="R72" s="632"/>
      <c r="S72" s="632"/>
      <c r="T72" s="632"/>
      <c r="U72" s="632"/>
      <c r="V72" s="633"/>
      <c r="W72" s="633"/>
      <c r="X72" s="633"/>
    </row>
    <row r="73" spans="1:24">
      <c r="A73" s="603"/>
      <c r="B73" s="603"/>
      <c r="C73" s="603"/>
      <c r="D73" s="603"/>
      <c r="E73" s="603"/>
      <c r="F73" s="603"/>
      <c r="G73" s="603"/>
      <c r="H73" s="603"/>
      <c r="I73" s="603"/>
      <c r="J73" s="603"/>
      <c r="K73" s="603"/>
      <c r="L73" s="603"/>
      <c r="M73" s="622"/>
      <c r="N73" s="603"/>
      <c r="O73" s="603"/>
      <c r="P73" s="603"/>
      <c r="Q73" s="631"/>
      <c r="R73" s="632"/>
      <c r="S73" s="632"/>
      <c r="T73" s="632"/>
      <c r="U73" s="632"/>
      <c r="V73" s="633"/>
      <c r="W73" s="633"/>
      <c r="X73" s="633"/>
    </row>
    <row r="74" spans="1:24">
      <c r="A74" s="603"/>
      <c r="B74" s="603"/>
      <c r="C74" s="603"/>
      <c r="D74" s="603"/>
      <c r="E74" s="603"/>
      <c r="F74" s="603"/>
      <c r="G74" s="603"/>
      <c r="H74" s="603"/>
      <c r="I74" s="603"/>
      <c r="J74" s="603"/>
      <c r="K74" s="603"/>
      <c r="L74" s="603"/>
      <c r="M74" s="622"/>
      <c r="N74" s="603"/>
      <c r="O74" s="603"/>
      <c r="P74" s="603"/>
      <c r="Q74" s="631"/>
      <c r="R74" s="632"/>
      <c r="S74" s="632"/>
      <c r="T74" s="632"/>
      <c r="U74" s="632"/>
      <c r="V74" s="633"/>
      <c r="W74" s="633"/>
      <c r="X74" s="633"/>
    </row>
    <row r="75" spans="1:24">
      <c r="A75" s="603"/>
      <c r="B75" s="603"/>
      <c r="C75" s="603"/>
      <c r="D75" s="603"/>
      <c r="E75" s="603"/>
      <c r="F75" s="603"/>
      <c r="G75" s="603"/>
      <c r="H75" s="603"/>
      <c r="I75" s="603"/>
      <c r="J75" s="603"/>
      <c r="K75" s="603"/>
      <c r="L75" s="603"/>
      <c r="M75" s="622"/>
      <c r="N75" s="603"/>
      <c r="O75" s="603"/>
      <c r="P75" s="603"/>
      <c r="Q75" s="631"/>
      <c r="R75" s="632"/>
      <c r="S75" s="632"/>
      <c r="T75" s="632"/>
      <c r="U75" s="632"/>
      <c r="V75" s="633"/>
      <c r="W75" s="633"/>
      <c r="X75" s="633"/>
    </row>
    <row r="76" spans="1:24">
      <c r="A76" s="603"/>
      <c r="B76" s="603"/>
      <c r="C76" s="603"/>
      <c r="D76" s="603"/>
      <c r="E76" s="603"/>
      <c r="F76" s="603"/>
      <c r="G76" s="603"/>
      <c r="H76" s="603"/>
      <c r="I76" s="603"/>
      <c r="J76" s="603"/>
      <c r="K76" s="603"/>
      <c r="L76" s="603"/>
      <c r="M76" s="622"/>
      <c r="N76" s="603"/>
      <c r="O76" s="603"/>
      <c r="P76" s="603"/>
      <c r="Q76" s="837"/>
      <c r="R76" s="836"/>
      <c r="S76" s="836"/>
      <c r="T76" s="836"/>
      <c r="U76" s="836"/>
      <c r="V76" s="1608"/>
      <c r="W76" s="1608"/>
      <c r="X76" s="1608"/>
    </row>
    <row r="77" spans="1:24" ht="15.75" thickBot="1">
      <c r="A77" s="603"/>
      <c r="B77" s="603"/>
      <c r="C77" s="603"/>
      <c r="D77" s="603"/>
      <c r="E77" s="603"/>
      <c r="F77" s="603"/>
      <c r="G77" s="603"/>
      <c r="H77" s="603"/>
      <c r="I77" s="603"/>
      <c r="J77" s="603"/>
      <c r="K77" s="603"/>
      <c r="L77" s="603"/>
      <c r="M77" s="622"/>
      <c r="N77" s="603"/>
      <c r="O77" s="603"/>
      <c r="P77" s="603"/>
      <c r="Q77" s="631"/>
      <c r="R77" s="632"/>
      <c r="S77" s="632"/>
      <c r="T77" s="632"/>
      <c r="U77" s="632"/>
      <c r="V77" s="633"/>
      <c r="W77" s="633"/>
      <c r="X77" s="633"/>
    </row>
    <row r="78" spans="1:24">
      <c r="A78" s="1612" t="s">
        <v>590</v>
      </c>
      <c r="B78" s="1613"/>
      <c r="C78" s="1613"/>
      <c r="D78" s="1613"/>
      <c r="E78" s="1613"/>
      <c r="F78" s="1613"/>
      <c r="G78" s="1613"/>
      <c r="H78" s="1613"/>
      <c r="I78" s="1613"/>
      <c r="J78" s="1613"/>
      <c r="K78" s="1613"/>
      <c r="L78" s="1614"/>
      <c r="M78" s="635" t="s">
        <v>288</v>
      </c>
      <c r="N78" s="626"/>
      <c r="O78" s="626"/>
      <c r="P78" s="636"/>
      <c r="Q78" s="635"/>
      <c r="R78" s="637"/>
      <c r="S78" s="638"/>
      <c r="T78" s="639"/>
      <c r="U78" s="639"/>
      <c r="V78" s="1615">
        <f>V79+V80</f>
        <v>1740000</v>
      </c>
      <c r="W78" s="1616"/>
      <c r="X78" s="1617"/>
    </row>
    <row r="79" spans="1:24">
      <c r="A79" s="602"/>
      <c r="B79" s="603"/>
      <c r="C79" s="603"/>
      <c r="D79" s="603"/>
      <c r="E79" s="603"/>
      <c r="F79" s="603"/>
      <c r="G79" s="603"/>
      <c r="H79" s="603"/>
      <c r="I79" s="603"/>
      <c r="J79" s="603"/>
      <c r="K79" s="603"/>
      <c r="L79" s="610"/>
      <c r="M79" s="620" t="s">
        <v>289</v>
      </c>
      <c r="N79" s="603"/>
      <c r="O79" s="603"/>
      <c r="P79" s="610"/>
      <c r="Q79" s="621">
        <v>12</v>
      </c>
      <c r="R79" s="1599" t="s">
        <v>290</v>
      </c>
      <c r="S79" s="1609"/>
      <c r="T79" s="1599">
        <v>145000</v>
      </c>
      <c r="U79" s="1609"/>
      <c r="V79" s="1610">
        <f>Q79*T79</f>
        <v>1740000</v>
      </c>
      <c r="W79" s="1608"/>
      <c r="X79" s="1611"/>
    </row>
    <row r="80" spans="1:24">
      <c r="A80" s="602"/>
      <c r="B80" s="603"/>
      <c r="C80" s="603"/>
      <c r="D80" s="603"/>
      <c r="E80" s="603"/>
      <c r="F80" s="603"/>
      <c r="G80" s="603"/>
      <c r="H80" s="603"/>
      <c r="I80" s="603"/>
      <c r="J80" s="603"/>
      <c r="K80" s="603"/>
      <c r="L80" s="610"/>
      <c r="M80" s="620" t="s">
        <v>466</v>
      </c>
      <c r="N80" s="603"/>
      <c r="O80" s="603"/>
      <c r="P80" s="610"/>
      <c r="Q80" s="614"/>
      <c r="R80" s="617"/>
      <c r="S80" s="618"/>
      <c r="T80" s="619"/>
      <c r="U80" s="619"/>
      <c r="V80" s="1599">
        <v>0</v>
      </c>
      <c r="W80" s="1600"/>
      <c r="X80" s="1601"/>
    </row>
    <row r="81" spans="1:26" ht="15.75" thickBot="1">
      <c r="A81" s="1602" t="s">
        <v>110</v>
      </c>
      <c r="B81" s="1603"/>
      <c r="C81" s="1603"/>
      <c r="D81" s="1603"/>
      <c r="E81" s="1603"/>
      <c r="F81" s="1603"/>
      <c r="G81" s="1603"/>
      <c r="H81" s="1603"/>
      <c r="I81" s="1603"/>
      <c r="J81" s="1603"/>
      <c r="K81" s="1603"/>
      <c r="L81" s="1603"/>
      <c r="M81" s="1603"/>
      <c r="N81" s="1603"/>
      <c r="O81" s="1603"/>
      <c r="P81" s="1603"/>
      <c r="Q81" s="1603"/>
      <c r="R81" s="1603"/>
      <c r="S81" s="1603"/>
      <c r="T81" s="1603"/>
      <c r="U81" s="1604"/>
      <c r="V81" s="1605">
        <f>V29+V78</f>
        <v>12864000</v>
      </c>
      <c r="W81" s="1606"/>
      <c r="X81" s="1607"/>
    </row>
    <row r="82" spans="1:26" ht="17.25" customHeight="1" thickBot="1">
      <c r="A82" s="860" t="s">
        <v>1035</v>
      </c>
      <c r="B82" s="861"/>
      <c r="C82" s="861"/>
      <c r="D82" s="861"/>
      <c r="E82" s="861"/>
      <c r="F82" s="861"/>
      <c r="G82" s="861"/>
      <c r="H82" s="861"/>
      <c r="I82" s="861"/>
      <c r="J82" s="861"/>
      <c r="K82" s="861"/>
      <c r="L82" s="861"/>
      <c r="M82" s="861"/>
      <c r="N82" s="861"/>
      <c r="O82" s="861"/>
      <c r="P82" s="861"/>
      <c r="Q82" s="861"/>
      <c r="R82" s="862"/>
      <c r="S82" s="862"/>
      <c r="T82" s="862"/>
      <c r="U82" s="862"/>
      <c r="V82" s="862"/>
      <c r="W82" s="862"/>
      <c r="X82" s="863"/>
    </row>
    <row r="83" spans="1:26">
      <c r="A83" s="602" t="s">
        <v>106</v>
      </c>
      <c r="B83" s="603"/>
      <c r="C83" s="603"/>
      <c r="D83" s="603"/>
      <c r="E83" s="66" t="s">
        <v>17</v>
      </c>
      <c r="F83" s="1608">
        <v>3216000</v>
      </c>
      <c r="G83" s="1608"/>
      <c r="H83" s="1608"/>
      <c r="I83" s="1608"/>
      <c r="J83" s="1608"/>
      <c r="K83" s="1608"/>
      <c r="L83" s="1608"/>
      <c r="M83" s="603"/>
      <c r="N83" s="603"/>
      <c r="O83" s="603"/>
      <c r="P83" s="603"/>
      <c r="Q83" s="603"/>
      <c r="R83" s="1209" t="s">
        <v>584</v>
      </c>
      <c r="S83" s="1209"/>
      <c r="T83" s="1209"/>
      <c r="U83" s="1209"/>
      <c r="V83" s="1209"/>
      <c r="W83" s="1209"/>
      <c r="X83" s="1210"/>
    </row>
    <row r="84" spans="1:26">
      <c r="A84" s="602" t="s">
        <v>107</v>
      </c>
      <c r="B84" s="603"/>
      <c r="C84" s="603"/>
      <c r="D84" s="603"/>
      <c r="E84" s="66" t="s">
        <v>17</v>
      </c>
      <c r="F84" s="1608">
        <v>3216000</v>
      </c>
      <c r="G84" s="1608"/>
      <c r="H84" s="1608"/>
      <c r="I84" s="1608"/>
      <c r="J84" s="1608"/>
      <c r="K84" s="1608"/>
      <c r="L84" s="1608"/>
      <c r="M84" s="603"/>
      <c r="N84" s="603"/>
      <c r="O84" s="603"/>
      <c r="P84" s="603"/>
      <c r="Q84" s="603"/>
      <c r="R84" s="1209" t="s">
        <v>585</v>
      </c>
      <c r="S84" s="1209"/>
      <c r="T84" s="1209"/>
      <c r="U84" s="1209"/>
      <c r="V84" s="1209"/>
      <c r="W84" s="1209"/>
      <c r="X84" s="1210"/>
    </row>
    <row r="85" spans="1:26">
      <c r="A85" s="602" t="s">
        <v>108</v>
      </c>
      <c r="B85" s="603"/>
      <c r="C85" s="603"/>
      <c r="D85" s="603"/>
      <c r="E85" s="66" t="s">
        <v>17</v>
      </c>
      <c r="F85" s="1608">
        <v>3216000</v>
      </c>
      <c r="G85" s="1608"/>
      <c r="H85" s="1608"/>
      <c r="I85" s="1608"/>
      <c r="J85" s="1608"/>
      <c r="K85" s="1608"/>
      <c r="L85" s="1608"/>
      <c r="M85" s="603"/>
      <c r="N85" s="603"/>
      <c r="O85" s="603"/>
      <c r="P85" s="603"/>
      <c r="Q85" s="603"/>
      <c r="R85" s="197"/>
      <c r="S85" s="197"/>
      <c r="T85" s="1209"/>
      <c r="U85" s="1209"/>
      <c r="V85" s="1209"/>
      <c r="W85" s="1209"/>
      <c r="X85" s="234"/>
      <c r="Z85" s="79">
        <f>V81/4</f>
        <v>3216000</v>
      </c>
    </row>
    <row r="86" spans="1:26" ht="16.5">
      <c r="A86" s="602" t="s">
        <v>109</v>
      </c>
      <c r="B86" s="603"/>
      <c r="C86" s="603"/>
      <c r="D86" s="603"/>
      <c r="E86" s="66" t="s">
        <v>17</v>
      </c>
      <c r="F86" s="1547">
        <v>3216000</v>
      </c>
      <c r="G86" s="1547"/>
      <c r="H86" s="1547"/>
      <c r="I86" s="1547"/>
      <c r="J86" s="1547"/>
      <c r="K86" s="1547"/>
      <c r="L86" s="1547"/>
      <c r="M86" s="603"/>
      <c r="N86" s="603"/>
      <c r="O86" s="603"/>
      <c r="P86" s="603"/>
      <c r="Q86" s="603"/>
      <c r="R86" s="197"/>
      <c r="S86" s="197"/>
      <c r="T86" s="835"/>
      <c r="U86" s="835"/>
      <c r="V86" s="835"/>
      <c r="W86" s="835"/>
      <c r="X86" s="234"/>
    </row>
    <row r="87" spans="1:26">
      <c r="A87" s="602" t="s">
        <v>15</v>
      </c>
      <c r="B87" s="603"/>
      <c r="C87" s="603"/>
      <c r="D87" s="603"/>
      <c r="E87" s="66" t="s">
        <v>17</v>
      </c>
      <c r="F87" s="1608">
        <f>SUM(F83:L86)</f>
        <v>12864000</v>
      </c>
      <c r="G87" s="1608"/>
      <c r="H87" s="1608"/>
      <c r="I87" s="1608"/>
      <c r="J87" s="1608"/>
      <c r="K87" s="1608"/>
      <c r="L87" s="1608"/>
      <c r="M87" s="603"/>
      <c r="N87" s="603"/>
      <c r="O87" s="603"/>
      <c r="P87" s="603"/>
      <c r="Q87" s="603"/>
      <c r="R87" s="197"/>
      <c r="S87" s="197"/>
      <c r="T87" s="197"/>
      <c r="U87" s="197"/>
      <c r="V87" s="197"/>
      <c r="W87" s="197"/>
      <c r="X87" s="234"/>
    </row>
    <row r="88" spans="1:26">
      <c r="A88" s="602"/>
      <c r="B88" s="603"/>
      <c r="C88" s="603"/>
      <c r="D88" s="603"/>
      <c r="E88" s="603"/>
      <c r="F88" s="603"/>
      <c r="G88" s="603"/>
      <c r="H88" s="603"/>
      <c r="I88" s="603"/>
      <c r="J88" s="603"/>
      <c r="K88" s="603"/>
      <c r="L88" s="603"/>
      <c r="M88" s="603"/>
      <c r="N88" s="603"/>
      <c r="O88" s="603"/>
      <c r="P88" s="603"/>
      <c r="Q88" s="603"/>
      <c r="R88" s="1357" t="s">
        <v>849</v>
      </c>
      <c r="S88" s="1357"/>
      <c r="T88" s="1357"/>
      <c r="U88" s="1357"/>
      <c r="V88" s="1357"/>
      <c r="W88" s="1357"/>
      <c r="X88" s="1358"/>
    </row>
    <row r="89" spans="1:26">
      <c r="A89" s="602"/>
      <c r="B89" s="603"/>
      <c r="C89" s="603"/>
      <c r="D89" s="603"/>
      <c r="E89" s="603"/>
      <c r="F89" s="603"/>
      <c r="G89" s="603"/>
      <c r="H89" s="603"/>
      <c r="I89" s="603"/>
      <c r="J89" s="603"/>
      <c r="K89" s="603"/>
      <c r="L89" s="603"/>
      <c r="M89" s="603"/>
      <c r="N89" s="603"/>
      <c r="O89" s="603"/>
      <c r="P89" s="603"/>
      <c r="Q89" s="601"/>
      <c r="R89" s="1359" t="s">
        <v>914</v>
      </c>
      <c r="S89" s="1209"/>
      <c r="T89" s="1209"/>
      <c r="U89" s="1209"/>
      <c r="V89" s="1209"/>
      <c r="W89" s="1209"/>
      <c r="X89" s="1210"/>
    </row>
    <row r="90" spans="1:26">
      <c r="A90" s="1418" t="s">
        <v>1034</v>
      </c>
      <c r="B90" s="1400"/>
      <c r="C90" s="1400"/>
      <c r="D90" s="1400"/>
      <c r="E90" s="1400"/>
      <c r="F90" s="1400"/>
      <c r="G90" s="1400"/>
      <c r="H90" s="1400"/>
      <c r="I90" s="1400"/>
      <c r="J90" s="1400"/>
      <c r="K90" s="1400"/>
      <c r="L90" s="1400"/>
      <c r="M90" s="1400"/>
      <c r="N90" s="1400"/>
      <c r="O90" s="1400"/>
      <c r="P90" s="1400"/>
      <c r="Q90" s="601"/>
      <c r="R90" s="1564"/>
      <c r="S90" s="1473"/>
      <c r="T90" s="1473"/>
      <c r="U90" s="1473"/>
      <c r="V90" s="1473"/>
      <c r="W90" s="1473"/>
      <c r="X90" s="1481"/>
    </row>
    <row r="91" spans="1:26">
      <c r="A91" s="607">
        <v>1</v>
      </c>
      <c r="B91" s="197" t="s">
        <v>460</v>
      </c>
      <c r="C91" s="640"/>
      <c r="D91" s="603"/>
      <c r="E91" s="603"/>
      <c r="F91" s="603"/>
      <c r="G91" s="603"/>
      <c r="H91" s="603"/>
      <c r="I91" s="603"/>
      <c r="J91" s="603"/>
      <c r="K91" s="603" t="s">
        <v>193</v>
      </c>
      <c r="L91" s="603"/>
      <c r="M91" s="603"/>
      <c r="N91" s="603"/>
      <c r="O91" s="603"/>
      <c r="P91" s="603"/>
      <c r="Q91" s="603"/>
      <c r="R91" s="1456" t="s">
        <v>921</v>
      </c>
      <c r="S91" s="1209"/>
      <c r="T91" s="1209"/>
      <c r="U91" s="1209"/>
      <c r="V91" s="1209"/>
      <c r="W91" s="1209"/>
      <c r="X91" s="1210"/>
    </row>
    <row r="92" spans="1:26">
      <c r="A92" s="602"/>
      <c r="B92" s="640" t="s">
        <v>1019</v>
      </c>
      <c r="C92" s="603"/>
      <c r="D92" s="603"/>
      <c r="E92" s="603"/>
      <c r="F92" s="603"/>
      <c r="G92" s="603"/>
      <c r="H92" s="603"/>
      <c r="I92" s="603"/>
      <c r="J92" s="603"/>
      <c r="K92" s="603"/>
      <c r="L92" s="603"/>
      <c r="M92" s="603"/>
      <c r="N92" s="603"/>
      <c r="O92" s="603"/>
      <c r="P92" s="603"/>
      <c r="Q92" s="603"/>
      <c r="R92" s="1208" t="s">
        <v>155</v>
      </c>
      <c r="S92" s="1209"/>
      <c r="T92" s="1209"/>
      <c r="U92" s="1209"/>
      <c r="V92" s="1209"/>
      <c r="W92" s="1209"/>
      <c r="X92" s="1210"/>
    </row>
    <row r="93" spans="1:26">
      <c r="A93" s="602"/>
      <c r="B93" s="603"/>
      <c r="C93" s="640"/>
      <c r="D93" s="603"/>
      <c r="E93" s="603"/>
      <c r="F93" s="603"/>
      <c r="G93" s="603"/>
      <c r="H93" s="603"/>
      <c r="I93" s="603"/>
      <c r="J93" s="603"/>
      <c r="K93" s="603"/>
      <c r="L93" s="603"/>
      <c r="M93" s="603"/>
      <c r="N93" s="603"/>
      <c r="O93" s="603"/>
      <c r="P93" s="603"/>
      <c r="Q93" s="603"/>
      <c r="R93" s="1208" t="s">
        <v>114</v>
      </c>
      <c r="S93" s="1209"/>
      <c r="T93" s="1209"/>
      <c r="U93" s="1209"/>
      <c r="V93" s="1209"/>
      <c r="W93" s="1209"/>
      <c r="X93" s="1210"/>
    </row>
    <row r="94" spans="1:26">
      <c r="A94" s="602">
        <v>2</v>
      </c>
      <c r="B94" s="603" t="s">
        <v>194</v>
      </c>
      <c r="C94" s="640"/>
      <c r="D94" s="603"/>
      <c r="E94" s="603"/>
      <c r="F94" s="603"/>
      <c r="G94" s="603"/>
      <c r="H94" s="603"/>
      <c r="I94" s="603"/>
      <c r="J94" s="603"/>
      <c r="K94" s="603"/>
      <c r="L94" s="603"/>
      <c r="M94" s="603"/>
      <c r="N94" s="603" t="s">
        <v>195</v>
      </c>
      <c r="O94" s="603"/>
      <c r="P94" s="603"/>
      <c r="Q94" s="603"/>
      <c r="R94" s="196"/>
      <c r="S94" s="197"/>
      <c r="T94" s="197"/>
      <c r="U94" s="197"/>
      <c r="V94" s="197"/>
      <c r="W94" s="197"/>
      <c r="X94" s="234"/>
    </row>
    <row r="95" spans="1:26">
      <c r="A95" s="602"/>
      <c r="B95" s="864" t="s">
        <v>1019</v>
      </c>
      <c r="C95" s="603"/>
      <c r="D95" s="603"/>
      <c r="E95" s="603"/>
      <c r="F95" s="603"/>
      <c r="G95" s="603"/>
      <c r="H95" s="603"/>
      <c r="I95" s="603"/>
      <c r="J95" s="603"/>
      <c r="K95" s="603"/>
      <c r="L95" s="603"/>
      <c r="M95" s="603"/>
      <c r="N95" s="603"/>
      <c r="O95" s="603"/>
      <c r="P95" s="603"/>
      <c r="Q95" s="603"/>
      <c r="R95" s="196"/>
      <c r="S95" s="197"/>
      <c r="T95" s="197"/>
      <c r="U95" s="197"/>
      <c r="V95" s="197"/>
      <c r="W95" s="197"/>
      <c r="X95" s="234"/>
    </row>
    <row r="96" spans="1:26">
      <c r="A96" s="602"/>
      <c r="B96" s="603"/>
      <c r="C96" s="603"/>
      <c r="D96" s="603"/>
      <c r="E96" s="603"/>
      <c r="F96" s="603"/>
      <c r="G96" s="603"/>
      <c r="H96" s="603"/>
      <c r="I96" s="603"/>
      <c r="J96" s="603"/>
      <c r="K96" s="603"/>
      <c r="L96" s="603"/>
      <c r="M96" s="603"/>
      <c r="N96" s="603"/>
      <c r="O96" s="603"/>
      <c r="P96" s="603"/>
      <c r="Q96" s="603"/>
      <c r="R96" s="1427" t="s">
        <v>115</v>
      </c>
      <c r="S96" s="1357"/>
      <c r="T96" s="1357"/>
      <c r="U96" s="1357"/>
      <c r="V96" s="1357"/>
      <c r="W96" s="1357"/>
      <c r="X96" s="1358"/>
    </row>
    <row r="97" spans="1:24">
      <c r="A97" s="233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8"/>
      <c r="R97" s="1208" t="s">
        <v>116</v>
      </c>
      <c r="S97" s="1209"/>
      <c r="T97" s="1209"/>
      <c r="U97" s="1209"/>
      <c r="V97" s="1209"/>
      <c r="W97" s="1209"/>
      <c r="X97" s="1210"/>
    </row>
    <row r="98" spans="1:24" ht="15.75" thickBot="1">
      <c r="A98" s="238"/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641"/>
      <c r="R98" s="325"/>
      <c r="S98" s="239"/>
      <c r="T98" s="239"/>
      <c r="U98" s="239"/>
      <c r="V98" s="239"/>
      <c r="W98" s="239"/>
      <c r="X98" s="326"/>
    </row>
  </sheetData>
  <mergeCells count="150">
    <mergeCell ref="R38:S38"/>
    <mergeCell ref="T38:U38"/>
    <mergeCell ref="V38:X38"/>
    <mergeCell ref="R91:X91"/>
    <mergeCell ref="A55:N57"/>
    <mergeCell ref="O55:S57"/>
    <mergeCell ref="T55:X57"/>
    <mergeCell ref="R97:X97"/>
    <mergeCell ref="R44:S44"/>
    <mergeCell ref="T44:U44"/>
    <mergeCell ref="V44:X44"/>
    <mergeCell ref="R45:S45"/>
    <mergeCell ref="T45:U45"/>
    <mergeCell ref="V45:X45"/>
    <mergeCell ref="R42:S42"/>
    <mergeCell ref="T42:U42"/>
    <mergeCell ref="V42:X42"/>
    <mergeCell ref="R43:S43"/>
    <mergeCell ref="T43:U43"/>
    <mergeCell ref="V43:X43"/>
    <mergeCell ref="R46:S46"/>
    <mergeCell ref="T46:U46"/>
    <mergeCell ref="V46:X46"/>
    <mergeCell ref="R47:S47"/>
    <mergeCell ref="T47:U47"/>
    <mergeCell ref="V47:X47"/>
    <mergeCell ref="R93:X93"/>
    <mergeCell ref="R96:X96"/>
    <mergeCell ref="A14:F14"/>
    <mergeCell ref="I14:T14"/>
    <mergeCell ref="U14:X14"/>
    <mergeCell ref="V31:X31"/>
    <mergeCell ref="R32:S32"/>
    <mergeCell ref="T32:U32"/>
    <mergeCell ref="V32:X32"/>
    <mergeCell ref="A29:L29"/>
    <mergeCell ref="V29:X29"/>
    <mergeCell ref="R30:S30"/>
    <mergeCell ref="T30:U30"/>
    <mergeCell ref="V30:X30"/>
    <mergeCell ref="A25:L25"/>
    <mergeCell ref="M25:P25"/>
    <mergeCell ref="V25:X25"/>
    <mergeCell ref="T26:U29"/>
    <mergeCell ref="R26:S29"/>
    <mergeCell ref="A26:L26"/>
    <mergeCell ref="V26:X26"/>
    <mergeCell ref="A27:L27"/>
    <mergeCell ref="U15:X15"/>
    <mergeCell ref="V16:X16"/>
    <mergeCell ref="U17:X17"/>
    <mergeCell ref="U18:X18"/>
    <mergeCell ref="A20:X20"/>
    <mergeCell ref="A21:X21"/>
    <mergeCell ref="A24:L24"/>
    <mergeCell ref="M24:P24"/>
    <mergeCell ref="R24:S24"/>
    <mergeCell ref="T24:U24"/>
    <mergeCell ref="V24:X24"/>
    <mergeCell ref="A22:L22"/>
    <mergeCell ref="M22:P22"/>
    <mergeCell ref="Q22:U22"/>
    <mergeCell ref="V22:X22"/>
    <mergeCell ref="A23:L23"/>
    <mergeCell ref="R23:S23"/>
    <mergeCell ref="T23:U23"/>
    <mergeCell ref="V23:X23"/>
    <mergeCell ref="W1:X1"/>
    <mergeCell ref="W2:X2"/>
    <mergeCell ref="W3:X3"/>
    <mergeCell ref="A1:O1"/>
    <mergeCell ref="A2:O3"/>
    <mergeCell ref="A13:X13"/>
    <mergeCell ref="W4:X4"/>
    <mergeCell ref="A4:V4"/>
    <mergeCell ref="A5:V5"/>
    <mergeCell ref="R31:S31"/>
    <mergeCell ref="T31:U31"/>
    <mergeCell ref="M29:P29"/>
    <mergeCell ref="Q26:Q29"/>
    <mergeCell ref="V27:X27"/>
    <mergeCell ref="A28:L28"/>
    <mergeCell ref="V28:X28"/>
    <mergeCell ref="R35:S35"/>
    <mergeCell ref="T35:U35"/>
    <mergeCell ref="V35:X35"/>
    <mergeCell ref="R37:S37"/>
    <mergeCell ref="T37:U37"/>
    <mergeCell ref="V37:X37"/>
    <mergeCell ref="R33:S33"/>
    <mergeCell ref="T33:U33"/>
    <mergeCell ref="V33:X33"/>
    <mergeCell ref="R34:S34"/>
    <mergeCell ref="T34:U34"/>
    <mergeCell ref="V34:X34"/>
    <mergeCell ref="T36:U36"/>
    <mergeCell ref="R36:S36"/>
    <mergeCell ref="V36:X36"/>
    <mergeCell ref="R40:S40"/>
    <mergeCell ref="T40:U40"/>
    <mergeCell ref="V40:X40"/>
    <mergeCell ref="R41:S41"/>
    <mergeCell ref="T41:U41"/>
    <mergeCell ref="V41:X41"/>
    <mergeCell ref="R39:S39"/>
    <mergeCell ref="T39:U39"/>
    <mergeCell ref="V39:X39"/>
    <mergeCell ref="T48:U48"/>
    <mergeCell ref="V48:X48"/>
    <mergeCell ref="A78:L78"/>
    <mergeCell ref="V78:X78"/>
    <mergeCell ref="R79:S79"/>
    <mergeCell ref="T79:U79"/>
    <mergeCell ref="V79:X79"/>
    <mergeCell ref="T50:U50"/>
    <mergeCell ref="V50:X50"/>
    <mergeCell ref="R48:S48"/>
    <mergeCell ref="F83:L83"/>
    <mergeCell ref="R83:X83"/>
    <mergeCell ref="F84:L84"/>
    <mergeCell ref="F85:L85"/>
    <mergeCell ref="R88:X88"/>
    <mergeCell ref="R89:X89"/>
    <mergeCell ref="A90:P90"/>
    <mergeCell ref="R90:X90"/>
    <mergeCell ref="R92:X92"/>
    <mergeCell ref="F86:L86"/>
    <mergeCell ref="F87:L87"/>
    <mergeCell ref="R84:X84"/>
    <mergeCell ref="T85:W85"/>
    <mergeCell ref="V80:X80"/>
    <mergeCell ref="A81:U81"/>
    <mergeCell ref="V81:X81"/>
    <mergeCell ref="V76:X76"/>
    <mergeCell ref="R51:S51"/>
    <mergeCell ref="R49:S49"/>
    <mergeCell ref="T49:U49"/>
    <mergeCell ref="V49:X49"/>
    <mergeCell ref="R54:S54"/>
    <mergeCell ref="T54:U54"/>
    <mergeCell ref="V54:X54"/>
    <mergeCell ref="R52:S52"/>
    <mergeCell ref="T52:U52"/>
    <mergeCell ref="V52:X52"/>
    <mergeCell ref="T51:U51"/>
    <mergeCell ref="V51:X51"/>
    <mergeCell ref="R53:S53"/>
    <mergeCell ref="T53:U53"/>
    <mergeCell ref="V53:X53"/>
    <mergeCell ref="R50:S50"/>
  </mergeCells>
  <pageMargins left="0.7" right="0.7" top="0.75" bottom="0.75" header="0.3" footer="0.3"/>
  <pageSetup paperSize="5" scale="80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60"/>
  <sheetViews>
    <sheetView view="pageLayout" topLeftCell="A43" workbookViewId="0">
      <selection activeCell="U2" sqref="U2"/>
    </sheetView>
  </sheetViews>
  <sheetFormatPr defaultRowHeight="15"/>
  <cols>
    <col min="1" max="1" width="2.42578125" customWidth="1"/>
    <col min="2" max="2" width="3" customWidth="1"/>
    <col min="3" max="3" width="4" customWidth="1"/>
    <col min="4" max="4" width="3.28515625" customWidth="1"/>
    <col min="5" max="5" width="3" customWidth="1"/>
    <col min="6" max="6" width="3.85546875" customWidth="1"/>
    <col min="7" max="7" width="2.5703125" customWidth="1"/>
    <col min="8" max="8" width="2" customWidth="1"/>
    <col min="9" max="9" width="2.140625" customWidth="1"/>
    <col min="10" max="10" width="1.5703125" customWidth="1"/>
    <col min="11" max="11" width="2.7109375" customWidth="1"/>
    <col min="12" max="12" width="1" customWidth="1"/>
    <col min="13" max="13" width="6" customWidth="1"/>
    <col min="15" max="15" width="7.85546875" customWidth="1"/>
    <col min="16" max="17" width="4.85546875" customWidth="1"/>
    <col min="18" max="18" width="3.28515625" customWidth="1"/>
    <col min="19" max="19" width="4.85546875" customWidth="1"/>
    <col min="20" max="20" width="4.5703125" customWidth="1"/>
    <col min="21" max="21" width="4.7109375" customWidth="1"/>
    <col min="22" max="22" width="3.140625" customWidth="1"/>
    <col min="23" max="23" width="5.140625" customWidth="1"/>
    <col min="24" max="24" width="12.5703125" customWidth="1"/>
    <col min="26" max="26" width="13.28515625" customWidth="1"/>
    <col min="29" max="29" width="11.5703125" customWidth="1"/>
  </cols>
  <sheetData>
    <row r="1" spans="1:24" ht="15.75">
      <c r="A1" s="1386" t="s">
        <v>1096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265"/>
      <c r="P1" s="830" t="s">
        <v>559</v>
      </c>
      <c r="Q1" s="824" t="s">
        <v>559</v>
      </c>
      <c r="R1" s="42" t="s">
        <v>157</v>
      </c>
      <c r="S1" s="42" t="s">
        <v>157</v>
      </c>
      <c r="T1" s="42" t="s">
        <v>305</v>
      </c>
      <c r="U1" s="824" t="s">
        <v>158</v>
      </c>
      <c r="V1" s="825" t="s">
        <v>159</v>
      </c>
      <c r="W1" s="1533"/>
      <c r="X1" s="1168"/>
    </row>
    <row r="2" spans="1:24" ht="15.75">
      <c r="A2" s="1389" t="s">
        <v>1042</v>
      </c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268"/>
      <c r="P2" s="81"/>
      <c r="Q2" s="87"/>
      <c r="R2" s="87"/>
      <c r="S2" s="57"/>
      <c r="T2" s="57"/>
      <c r="U2" s="195"/>
      <c r="V2" s="2"/>
      <c r="W2" s="1145" t="s">
        <v>1</v>
      </c>
      <c r="X2" s="1149"/>
    </row>
    <row r="3" spans="1:24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9"/>
      <c r="P3" s="54"/>
      <c r="Q3" s="132"/>
      <c r="R3" s="132"/>
      <c r="S3" s="56"/>
      <c r="T3" s="56"/>
      <c r="U3" s="3"/>
      <c r="V3" s="4"/>
      <c r="W3" s="1145"/>
      <c r="X3" s="1149"/>
    </row>
    <row r="4" spans="1:24" ht="15.75">
      <c r="A4" s="1583" t="s">
        <v>717</v>
      </c>
      <c r="B4" s="1584"/>
      <c r="C4" s="1584"/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5"/>
      <c r="W4" s="1145" t="s">
        <v>1040</v>
      </c>
      <c r="X4" s="1149"/>
    </row>
    <row r="5" spans="1:24" ht="15.75">
      <c r="A5" s="1586" t="s">
        <v>922</v>
      </c>
      <c r="B5" s="1587"/>
      <c r="C5" s="1587"/>
      <c r="D5" s="1587"/>
      <c r="E5" s="1587"/>
      <c r="F5" s="1587"/>
      <c r="G5" s="1587"/>
      <c r="H5" s="1587"/>
      <c r="I5" s="1587"/>
      <c r="J5" s="1587"/>
      <c r="K5" s="1587"/>
      <c r="L5" s="1587"/>
      <c r="M5" s="1587"/>
      <c r="N5" s="1587"/>
      <c r="O5" s="1587"/>
      <c r="P5" s="1587"/>
      <c r="Q5" s="1587"/>
      <c r="R5" s="1587"/>
      <c r="S5" s="1587"/>
      <c r="T5" s="1587"/>
      <c r="U5" s="1587"/>
      <c r="V5" s="1588"/>
      <c r="W5" s="850"/>
      <c r="X5" s="851"/>
    </row>
    <row r="6" spans="1:24">
      <c r="A6" s="5" t="s">
        <v>5</v>
      </c>
      <c r="B6" s="195"/>
      <c r="C6" s="195"/>
      <c r="D6" s="195"/>
      <c r="E6" s="195"/>
      <c r="F6" s="195"/>
      <c r="G6" s="195"/>
      <c r="H6" s="195"/>
      <c r="I6" s="195"/>
      <c r="J6" s="195"/>
      <c r="K6" s="195" t="s">
        <v>6</v>
      </c>
      <c r="L6" s="195" t="s">
        <v>559</v>
      </c>
      <c r="M6" s="195"/>
      <c r="N6" s="195"/>
      <c r="O6" s="195"/>
      <c r="P6" s="195"/>
      <c r="Q6" s="195" t="s">
        <v>8</v>
      </c>
      <c r="R6" s="195"/>
      <c r="S6" s="195"/>
      <c r="T6" s="195"/>
      <c r="U6" s="195"/>
      <c r="V6" s="195"/>
      <c r="W6" s="195"/>
      <c r="X6" s="2"/>
    </row>
    <row r="7" spans="1:24">
      <c r="A7" s="5" t="s">
        <v>9</v>
      </c>
      <c r="B7" s="195"/>
      <c r="C7" s="195"/>
      <c r="D7" s="195"/>
      <c r="E7" s="195"/>
      <c r="F7" s="195"/>
      <c r="G7" s="195"/>
      <c r="H7" s="195"/>
      <c r="I7" s="195"/>
      <c r="J7" s="195"/>
      <c r="K7" s="195" t="s">
        <v>6</v>
      </c>
      <c r="L7" s="6" t="s">
        <v>529</v>
      </c>
      <c r="M7" s="6"/>
      <c r="N7" s="195"/>
      <c r="O7" s="195"/>
      <c r="P7" s="195"/>
      <c r="Q7" s="195" t="s">
        <v>11</v>
      </c>
      <c r="R7" s="195"/>
      <c r="S7" s="195"/>
      <c r="T7" s="195"/>
      <c r="U7" s="195"/>
      <c r="V7" s="195"/>
      <c r="W7" s="195"/>
      <c r="X7" s="2"/>
    </row>
    <row r="8" spans="1:24">
      <c r="A8" s="5" t="s">
        <v>162</v>
      </c>
      <c r="B8" s="195"/>
      <c r="C8" s="195"/>
      <c r="D8" s="195"/>
      <c r="E8" s="195"/>
      <c r="F8" s="195"/>
      <c r="G8" s="195"/>
      <c r="H8" s="195"/>
      <c r="I8" s="195"/>
      <c r="J8" s="195"/>
      <c r="K8" s="195" t="s">
        <v>6</v>
      </c>
      <c r="L8" s="195" t="s">
        <v>530</v>
      </c>
      <c r="M8" s="195"/>
      <c r="N8" s="195"/>
      <c r="O8" s="195"/>
      <c r="P8" s="195"/>
      <c r="Q8" s="195" t="s">
        <v>163</v>
      </c>
      <c r="R8" s="195"/>
      <c r="S8" s="195"/>
      <c r="T8" s="195"/>
      <c r="U8" s="195"/>
      <c r="V8" s="195"/>
      <c r="W8" s="195"/>
      <c r="X8" s="2"/>
    </row>
    <row r="9" spans="1:24">
      <c r="A9" s="5" t="s">
        <v>58</v>
      </c>
      <c r="B9" s="195"/>
      <c r="C9" s="195"/>
      <c r="D9" s="195"/>
      <c r="E9" s="195"/>
      <c r="F9" s="195"/>
      <c r="G9" s="195"/>
      <c r="H9" s="195"/>
      <c r="I9" s="195"/>
      <c r="J9" s="195"/>
      <c r="K9" s="195" t="s">
        <v>6</v>
      </c>
      <c r="L9" s="195" t="s">
        <v>560</v>
      </c>
      <c r="M9" s="195"/>
      <c r="N9" s="195"/>
      <c r="O9" s="195"/>
      <c r="P9" s="195"/>
      <c r="Q9" s="195" t="s">
        <v>306</v>
      </c>
      <c r="R9" s="195"/>
      <c r="S9" s="195"/>
      <c r="T9" s="195"/>
      <c r="U9" s="195"/>
      <c r="V9" s="195"/>
      <c r="W9" s="195"/>
      <c r="X9" s="2"/>
    </row>
    <row r="10" spans="1:24">
      <c r="A10" s="5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45" t="s">
        <v>307</v>
      </c>
      <c r="R10" s="195"/>
      <c r="S10" s="195"/>
      <c r="T10" s="195"/>
      <c r="U10" s="195"/>
      <c r="V10" s="195"/>
      <c r="W10" s="195"/>
      <c r="X10" s="2"/>
    </row>
    <row r="11" spans="1:24">
      <c r="A11" s="5" t="s">
        <v>165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 t="s">
        <v>6</v>
      </c>
      <c r="L11" s="195" t="s">
        <v>923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2"/>
    </row>
    <row r="12" spans="1:24">
      <c r="A12" s="5" t="s">
        <v>1021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 t="s">
        <v>6</v>
      </c>
      <c r="L12" s="66" t="s">
        <v>919</v>
      </c>
      <c r="M12" s="195"/>
      <c r="N12" s="195"/>
      <c r="O12" s="195"/>
      <c r="P12" s="195"/>
      <c r="Q12" s="45"/>
      <c r="R12" s="195"/>
      <c r="S12" s="195"/>
      <c r="T12" s="195"/>
      <c r="U12" s="195"/>
      <c r="V12" s="195"/>
      <c r="W12" s="195"/>
      <c r="X12" s="2"/>
    </row>
    <row r="13" spans="1:24">
      <c r="A13" s="5" t="s">
        <v>167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 t="s">
        <v>6</v>
      </c>
      <c r="L13" s="195" t="s">
        <v>68</v>
      </c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2"/>
    </row>
    <row r="14" spans="1:24">
      <c r="A14" s="1418" t="s">
        <v>260</v>
      </c>
      <c r="B14" s="1400"/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0"/>
      <c r="U14" s="1400"/>
      <c r="V14" s="1400"/>
      <c r="W14" s="1400"/>
      <c r="X14" s="1405"/>
    </row>
    <row r="15" spans="1:24">
      <c r="A15" s="1418" t="s">
        <v>169</v>
      </c>
      <c r="B15" s="1400"/>
      <c r="C15" s="1400"/>
      <c r="D15" s="1400"/>
      <c r="E15" s="1400"/>
      <c r="F15" s="1400"/>
      <c r="G15" s="270"/>
      <c r="H15" s="270"/>
      <c r="I15" s="1399" t="s">
        <v>170</v>
      </c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3"/>
      <c r="U15" s="1399" t="s">
        <v>171</v>
      </c>
      <c r="V15" s="1400"/>
      <c r="W15" s="1400"/>
      <c r="X15" s="1405"/>
    </row>
    <row r="16" spans="1:24">
      <c r="A16" s="80" t="s">
        <v>172</v>
      </c>
      <c r="B16" s="53"/>
      <c r="C16" s="53"/>
      <c r="D16" s="53"/>
      <c r="E16" s="53"/>
      <c r="F16" s="53"/>
      <c r="G16" s="53"/>
      <c r="H16" s="53"/>
      <c r="I16" s="27" t="s">
        <v>308</v>
      </c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59"/>
      <c r="U16" s="1554">
        <v>1</v>
      </c>
      <c r="V16" s="1555"/>
      <c r="W16" s="1555"/>
      <c r="X16" s="1556"/>
    </row>
    <row r="17" spans="1:32">
      <c r="A17" s="5" t="s">
        <v>174</v>
      </c>
      <c r="B17" s="195"/>
      <c r="C17" s="195"/>
      <c r="D17" s="195"/>
      <c r="E17" s="195"/>
      <c r="F17" s="195"/>
      <c r="G17" s="195"/>
      <c r="H17" s="195"/>
      <c r="I17" s="10" t="s">
        <v>175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36"/>
      <c r="U17" s="87" t="s">
        <v>154</v>
      </c>
      <c r="V17" s="1422">
        <f>V30</f>
        <v>3780000</v>
      </c>
      <c r="W17" s="1422"/>
      <c r="X17" s="1423"/>
    </row>
    <row r="18" spans="1:32">
      <c r="A18" s="5" t="s">
        <v>176</v>
      </c>
      <c r="B18" s="195"/>
      <c r="C18" s="195"/>
      <c r="D18" s="195"/>
      <c r="E18" s="195"/>
      <c r="F18" s="195"/>
      <c r="G18" s="195"/>
      <c r="H18" s="195"/>
      <c r="I18" s="10" t="s">
        <v>309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6"/>
      <c r="U18" s="1147" t="s">
        <v>178</v>
      </c>
      <c r="V18" s="1146"/>
      <c r="W18" s="1146"/>
      <c r="X18" s="1149"/>
    </row>
    <row r="19" spans="1:32">
      <c r="A19" s="68" t="s">
        <v>179</v>
      </c>
      <c r="B19" s="3"/>
      <c r="C19" s="3"/>
      <c r="D19" s="3"/>
      <c r="E19" s="3"/>
      <c r="F19" s="3"/>
      <c r="G19" s="3"/>
      <c r="H19" s="3"/>
      <c r="I19" s="24" t="s">
        <v>310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34"/>
      <c r="U19" s="1336" t="s">
        <v>181</v>
      </c>
      <c r="V19" s="1143"/>
      <c r="W19" s="1143"/>
      <c r="X19" s="1144"/>
    </row>
    <row r="20" spans="1:32">
      <c r="A20" s="5" t="s">
        <v>182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 t="s">
        <v>6</v>
      </c>
      <c r="M20" s="195" t="s">
        <v>920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2"/>
    </row>
    <row r="21" spans="1:32">
      <c r="A21" s="1321" t="s">
        <v>718</v>
      </c>
      <c r="B21" s="1322"/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3"/>
    </row>
    <row r="22" spans="1:32">
      <c r="A22" s="1164" t="s">
        <v>719</v>
      </c>
      <c r="B22" s="1165"/>
      <c r="C22" s="1165"/>
      <c r="D22" s="1165"/>
      <c r="E22" s="1165"/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  <c r="R22" s="1165"/>
      <c r="S22" s="1165"/>
      <c r="T22" s="1165"/>
      <c r="U22" s="1165"/>
      <c r="V22" s="1165"/>
      <c r="W22" s="1165"/>
      <c r="X22" s="1393"/>
    </row>
    <row r="23" spans="1:32">
      <c r="A23" s="1139" t="s">
        <v>13</v>
      </c>
      <c r="B23" s="1140"/>
      <c r="C23" s="1140"/>
      <c r="D23" s="1140"/>
      <c r="E23" s="1140"/>
      <c r="F23" s="1140"/>
      <c r="G23" s="1140"/>
      <c r="H23" s="1140"/>
      <c r="I23" s="1140"/>
      <c r="J23" s="1140"/>
      <c r="K23" s="1140"/>
      <c r="L23" s="1327"/>
      <c r="M23" s="1328" t="s">
        <v>14</v>
      </c>
      <c r="N23" s="1140"/>
      <c r="O23" s="1140"/>
      <c r="P23" s="1327"/>
      <c r="Q23" s="1328" t="s">
        <v>446</v>
      </c>
      <c r="R23" s="1140"/>
      <c r="S23" s="1140"/>
      <c r="T23" s="1140"/>
      <c r="U23" s="1140"/>
      <c r="V23" s="1328" t="s">
        <v>15</v>
      </c>
      <c r="W23" s="1140"/>
      <c r="X23" s="1141"/>
      <c r="Y23" s="1146"/>
      <c r="Z23" s="1146"/>
      <c r="AA23" s="1146"/>
      <c r="AB23" s="195"/>
      <c r="AC23" s="195"/>
      <c r="AD23" s="195"/>
      <c r="AE23" s="195"/>
      <c r="AF23" s="195"/>
    </row>
    <row r="24" spans="1:32">
      <c r="A24" s="1145" t="s">
        <v>16</v>
      </c>
      <c r="B24" s="1146"/>
      <c r="C24" s="1146"/>
      <c r="D24" s="1146"/>
      <c r="E24" s="1146"/>
      <c r="F24" s="1146"/>
      <c r="G24" s="1146"/>
      <c r="H24" s="1146"/>
      <c r="I24" s="1146"/>
      <c r="J24" s="1146"/>
      <c r="K24" s="1146"/>
      <c r="L24" s="1148"/>
      <c r="M24" s="35"/>
      <c r="N24" s="195"/>
      <c r="O24" s="195"/>
      <c r="P24" s="36"/>
      <c r="Q24" s="40" t="s">
        <v>122</v>
      </c>
      <c r="R24" s="1153" t="s">
        <v>123</v>
      </c>
      <c r="S24" s="1152"/>
      <c r="T24" s="1153" t="s">
        <v>124</v>
      </c>
      <c r="U24" s="1152"/>
      <c r="V24" s="1147" t="s">
        <v>17</v>
      </c>
      <c r="W24" s="1146"/>
      <c r="X24" s="1149"/>
      <c r="Y24" s="195"/>
      <c r="Z24" s="195"/>
      <c r="AA24" s="195"/>
      <c r="AB24" s="195"/>
      <c r="AC24" s="195"/>
      <c r="AD24" s="195"/>
      <c r="AE24" s="195"/>
      <c r="AF24" s="195"/>
    </row>
    <row r="25" spans="1:32">
      <c r="A25" s="1153">
        <v>1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2"/>
      <c r="M25" s="1153">
        <v>2</v>
      </c>
      <c r="N25" s="1151"/>
      <c r="O25" s="1151"/>
      <c r="P25" s="1152"/>
      <c r="Q25" s="40">
        <v>3</v>
      </c>
      <c r="R25" s="1153">
        <v>4</v>
      </c>
      <c r="S25" s="1152"/>
      <c r="T25" s="1153">
        <v>5</v>
      </c>
      <c r="U25" s="1152"/>
      <c r="V25" s="1153" t="s">
        <v>1041</v>
      </c>
      <c r="W25" s="1151"/>
      <c r="X25" s="1154"/>
      <c r="Y25" s="195"/>
      <c r="Z25" s="195"/>
      <c r="AA25" s="195"/>
      <c r="AB25" s="195"/>
      <c r="AC25" s="195"/>
      <c r="AD25" s="195"/>
      <c r="AE25" s="195"/>
      <c r="AF25" s="195"/>
    </row>
    <row r="26" spans="1:32">
      <c r="A26" s="1548" t="s">
        <v>735</v>
      </c>
      <c r="B26" s="1549"/>
      <c r="C26" s="1549"/>
      <c r="D26" s="1549"/>
      <c r="E26" s="1549"/>
      <c r="F26" s="1549"/>
      <c r="G26" s="1549"/>
      <c r="H26" s="1549"/>
      <c r="I26" s="1549"/>
      <c r="J26" s="1549"/>
      <c r="K26" s="1549"/>
      <c r="L26" s="1550"/>
      <c r="M26" s="1420" t="s">
        <v>551</v>
      </c>
      <c r="N26" s="1420"/>
      <c r="O26" s="1420"/>
      <c r="P26" s="1420"/>
      <c r="Q26" s="358"/>
      <c r="R26" s="358"/>
      <c r="S26" s="360"/>
      <c r="T26" s="359"/>
      <c r="U26" s="359"/>
      <c r="V26" s="1411">
        <f>V27</f>
        <v>3780000</v>
      </c>
      <c r="W26" s="1412"/>
      <c r="X26" s="1413"/>
      <c r="Y26" s="195"/>
      <c r="Z26" s="195"/>
      <c r="AA26" s="195"/>
      <c r="AB26" s="195"/>
      <c r="AC26" s="195"/>
      <c r="AD26" s="195"/>
      <c r="AE26" s="195"/>
      <c r="AF26" s="195"/>
    </row>
    <row r="27" spans="1:32">
      <c r="A27" s="1467" t="s">
        <v>736</v>
      </c>
      <c r="B27" s="1355"/>
      <c r="C27" s="1355"/>
      <c r="D27" s="1355"/>
      <c r="E27" s="1355"/>
      <c r="F27" s="1355"/>
      <c r="G27" s="1355"/>
      <c r="H27" s="1355"/>
      <c r="I27" s="1355"/>
      <c r="J27" s="1355"/>
      <c r="K27" s="1355"/>
      <c r="L27" s="1356"/>
      <c r="M27" s="84" t="s">
        <v>23</v>
      </c>
      <c r="N27" s="84"/>
      <c r="O27" s="84"/>
      <c r="P27" s="36"/>
      <c r="Q27" s="35"/>
      <c r="R27" s="35"/>
      <c r="S27" s="36"/>
      <c r="T27" s="195"/>
      <c r="U27" s="195"/>
      <c r="V27" s="1468">
        <f>V28</f>
        <v>3780000</v>
      </c>
      <c r="W27" s="1424"/>
      <c r="X27" s="1425"/>
      <c r="Y27" s="195"/>
      <c r="Z27" s="195"/>
      <c r="AA27" s="195"/>
      <c r="AB27" s="195"/>
      <c r="AC27" s="195"/>
      <c r="AD27" s="1424"/>
      <c r="AE27" s="1424"/>
      <c r="AF27" s="1424"/>
    </row>
    <row r="28" spans="1:32">
      <c r="A28" s="1467" t="s">
        <v>572</v>
      </c>
      <c r="B28" s="1355"/>
      <c r="C28" s="1355"/>
      <c r="D28" s="1355"/>
      <c r="E28" s="1355"/>
      <c r="F28" s="1355"/>
      <c r="G28" s="1355"/>
      <c r="H28" s="1355"/>
      <c r="I28" s="1355"/>
      <c r="J28" s="1355"/>
      <c r="K28" s="1355"/>
      <c r="L28" s="1356"/>
      <c r="M28" s="84" t="s">
        <v>216</v>
      </c>
      <c r="N28" s="195"/>
      <c r="O28" s="195"/>
      <c r="P28" s="36"/>
      <c r="Q28" s="35"/>
      <c r="R28" s="35"/>
      <c r="S28" s="36"/>
      <c r="T28" s="195"/>
      <c r="U28" s="195"/>
      <c r="V28" s="1468">
        <f>V29</f>
        <v>3780000</v>
      </c>
      <c r="W28" s="1424"/>
      <c r="X28" s="1425"/>
      <c r="Y28" s="195"/>
      <c r="Z28" s="195"/>
      <c r="AA28" s="195"/>
      <c r="AB28" s="195"/>
      <c r="AC28" s="195"/>
      <c r="AD28" s="1424"/>
      <c r="AE28" s="1424"/>
      <c r="AF28" s="1424"/>
    </row>
    <row r="29" spans="1:32">
      <c r="A29" s="1467" t="s">
        <v>573</v>
      </c>
      <c r="B29" s="1355"/>
      <c r="C29" s="1355"/>
      <c r="D29" s="1355"/>
      <c r="E29" s="1355"/>
      <c r="F29" s="1355"/>
      <c r="G29" s="1355"/>
      <c r="H29" s="1355"/>
      <c r="I29" s="1355"/>
      <c r="J29" s="1355"/>
      <c r="K29" s="1355"/>
      <c r="L29" s="1356"/>
      <c r="M29" s="84" t="s">
        <v>204</v>
      </c>
      <c r="N29" s="195"/>
      <c r="O29" s="195"/>
      <c r="P29" s="36"/>
      <c r="Q29" s="35"/>
      <c r="R29" s="35"/>
      <c r="S29" s="36"/>
      <c r="T29" s="195"/>
      <c r="U29" s="195"/>
      <c r="V29" s="1468">
        <f>V30</f>
        <v>3780000</v>
      </c>
      <c r="W29" s="1424"/>
      <c r="X29" s="1425"/>
      <c r="Y29" s="195"/>
      <c r="Z29" s="195"/>
      <c r="AA29" s="195"/>
      <c r="AB29" s="195"/>
      <c r="AC29" s="195"/>
      <c r="AD29" s="1424"/>
      <c r="AE29" s="1424"/>
      <c r="AF29" s="1424"/>
    </row>
    <row r="30" spans="1:32">
      <c r="A30" s="1467" t="s">
        <v>574</v>
      </c>
      <c r="B30" s="1355"/>
      <c r="C30" s="1355"/>
      <c r="D30" s="1355"/>
      <c r="E30" s="1355"/>
      <c r="F30" s="1355"/>
      <c r="G30" s="1355"/>
      <c r="H30" s="1355"/>
      <c r="I30" s="1355"/>
      <c r="J30" s="1355"/>
      <c r="K30" s="1355"/>
      <c r="L30" s="1356"/>
      <c r="M30" s="195" t="s">
        <v>311</v>
      </c>
      <c r="N30" s="195"/>
      <c r="O30" s="195"/>
      <c r="P30" s="36"/>
      <c r="Q30" s="35"/>
      <c r="R30" s="35"/>
      <c r="S30" s="36"/>
      <c r="T30" s="195"/>
      <c r="U30" s="195"/>
      <c r="V30" s="1598">
        <f>V31</f>
        <v>3780000</v>
      </c>
      <c r="W30" s="1422"/>
      <c r="X30" s="1423"/>
      <c r="Y30" s="195"/>
      <c r="Z30" s="195"/>
      <c r="AA30" s="195"/>
      <c r="AB30" s="195"/>
      <c r="AC30" s="195"/>
      <c r="AD30" s="1422"/>
      <c r="AE30" s="1422"/>
      <c r="AF30" s="1422"/>
    </row>
    <row r="31" spans="1:32">
      <c r="A31" s="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36"/>
      <c r="M31" s="92" t="s">
        <v>312</v>
      </c>
      <c r="N31" s="195"/>
      <c r="O31" s="195"/>
      <c r="P31" s="36"/>
      <c r="Q31" s="35"/>
      <c r="R31" s="35"/>
      <c r="S31" s="36"/>
      <c r="T31" s="195"/>
      <c r="U31" s="195"/>
      <c r="V31" s="1598">
        <f>V32+V33+V34+V36</f>
        <v>3780000</v>
      </c>
      <c r="W31" s="1422"/>
      <c r="X31" s="1423"/>
      <c r="Y31" s="195"/>
      <c r="Z31" s="195"/>
      <c r="AA31" s="195"/>
      <c r="AB31" s="195"/>
      <c r="AC31" s="195"/>
      <c r="AD31" s="1422"/>
      <c r="AE31" s="1422"/>
      <c r="AF31" s="1422"/>
    </row>
    <row r="32" spans="1:32">
      <c r="A32" s="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36"/>
      <c r="M32" s="93" t="s">
        <v>313</v>
      </c>
      <c r="N32" s="195"/>
      <c r="O32" s="195"/>
      <c r="P32" s="36"/>
      <c r="Q32" s="269">
        <v>12</v>
      </c>
      <c r="R32" s="1147" t="s">
        <v>207</v>
      </c>
      <c r="S32" s="1148"/>
      <c r="T32" s="1349">
        <v>110000</v>
      </c>
      <c r="U32" s="1350"/>
      <c r="V32" s="1598">
        <f>Q32*T32</f>
        <v>1320000</v>
      </c>
      <c r="W32" s="1422"/>
      <c r="X32" s="1423"/>
      <c r="Y32" s="264"/>
      <c r="Z32" s="1146"/>
      <c r="AA32" s="1146"/>
      <c r="AB32" s="1352"/>
      <c r="AC32" s="1352"/>
      <c r="AD32" s="1422"/>
      <c r="AE32" s="1422"/>
      <c r="AF32" s="1422"/>
    </row>
    <row r="33" spans="1:32">
      <c r="A33" s="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36"/>
      <c r="M33" s="93" t="s">
        <v>314</v>
      </c>
      <c r="N33" s="195"/>
      <c r="O33" s="195"/>
      <c r="P33" s="36"/>
      <c r="Q33" s="269">
        <v>12</v>
      </c>
      <c r="R33" s="1147" t="s">
        <v>207</v>
      </c>
      <c r="S33" s="1148"/>
      <c r="T33" s="1349">
        <v>135000</v>
      </c>
      <c r="U33" s="1350"/>
      <c r="V33" s="1598">
        <f>Q33*T33</f>
        <v>1620000</v>
      </c>
      <c r="W33" s="1422"/>
      <c r="X33" s="1423"/>
      <c r="Y33" s="264"/>
      <c r="Z33" s="1146"/>
      <c r="AA33" s="1146"/>
      <c r="AB33" s="1352"/>
      <c r="AC33" s="1352"/>
      <c r="AD33" s="1422"/>
      <c r="AE33" s="1422"/>
      <c r="AF33" s="1422"/>
    </row>
    <row r="34" spans="1:32">
      <c r="A34" s="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36"/>
      <c r="M34" s="93" t="s">
        <v>710</v>
      </c>
      <c r="N34" s="195"/>
      <c r="O34" s="195"/>
      <c r="P34" s="36"/>
      <c r="Q34" s="269">
        <v>12</v>
      </c>
      <c r="R34" s="1456" t="s">
        <v>207</v>
      </c>
      <c r="S34" s="1532"/>
      <c r="T34" s="1349">
        <v>70000</v>
      </c>
      <c r="U34" s="1350"/>
      <c r="V34" s="1598">
        <f>Q34*T34</f>
        <v>840000</v>
      </c>
      <c r="W34" s="1422"/>
      <c r="X34" s="1423"/>
      <c r="Y34" s="264"/>
      <c r="Z34" s="1359"/>
      <c r="AA34" s="1359"/>
      <c r="AB34" s="1352"/>
      <c r="AC34" s="1352"/>
      <c r="AD34" s="1422"/>
      <c r="AE34" s="1422"/>
      <c r="AF34" s="1422"/>
    </row>
    <row r="35" spans="1:32">
      <c r="A35" s="5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36"/>
      <c r="M35" s="63"/>
      <c r="N35" s="195"/>
      <c r="O35" s="195"/>
      <c r="P35" s="36"/>
      <c r="Q35" s="35"/>
      <c r="R35" s="35"/>
      <c r="S35" s="36"/>
      <c r="T35" s="195"/>
      <c r="U35" s="195"/>
      <c r="V35" s="35"/>
      <c r="W35" s="195"/>
      <c r="X35" s="2"/>
      <c r="Y35" s="248"/>
      <c r="Z35" s="1667"/>
      <c r="AA35" s="1146"/>
      <c r="AB35" s="1352"/>
      <c r="AC35" s="1352"/>
      <c r="AD35" s="1422"/>
      <c r="AE35" s="1422"/>
      <c r="AF35" s="1422"/>
    </row>
    <row r="36" spans="1:32">
      <c r="A36" s="5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36"/>
      <c r="M36" s="35"/>
      <c r="N36" s="67"/>
      <c r="O36" s="195"/>
      <c r="P36" s="36"/>
      <c r="Q36" s="35"/>
      <c r="R36" s="35"/>
      <c r="S36" s="36"/>
      <c r="T36" s="195"/>
      <c r="U36" s="195"/>
      <c r="V36" s="1598">
        <v>0</v>
      </c>
      <c r="W36" s="1422"/>
      <c r="X36" s="1423"/>
      <c r="Y36" s="195"/>
      <c r="Z36" s="142"/>
      <c r="AA36" s="195"/>
      <c r="AB36" s="195"/>
      <c r="AC36" s="195"/>
      <c r="AD36" s="195"/>
      <c r="AE36" s="195"/>
      <c r="AF36" s="195"/>
    </row>
    <row r="37" spans="1:32">
      <c r="A37" s="5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36"/>
      <c r="M37" s="63"/>
      <c r="N37" s="195"/>
      <c r="O37" s="195"/>
      <c r="P37" s="36"/>
      <c r="Q37" s="35"/>
      <c r="R37" s="35"/>
      <c r="S37" s="36"/>
      <c r="T37" s="195"/>
      <c r="U37" s="195"/>
      <c r="V37" s="35"/>
      <c r="W37" s="195"/>
      <c r="X37" s="2"/>
      <c r="Y37" s="195"/>
      <c r="Z37" s="142"/>
      <c r="AA37" s="195"/>
      <c r="AB37" s="195"/>
      <c r="AC37" s="195"/>
      <c r="AD37" s="195"/>
      <c r="AE37" s="195"/>
      <c r="AF37" s="195"/>
    </row>
    <row r="38" spans="1:32">
      <c r="A38" s="5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36"/>
      <c r="M38" s="63"/>
      <c r="N38" s="195"/>
      <c r="O38" s="195"/>
      <c r="P38" s="36"/>
      <c r="Q38" s="35"/>
      <c r="R38" s="35"/>
      <c r="S38" s="36"/>
      <c r="T38" s="195"/>
      <c r="U38" s="195"/>
      <c r="V38" s="35"/>
      <c r="W38" s="195"/>
      <c r="X38" s="2"/>
      <c r="Z38" s="79"/>
    </row>
    <row r="39" spans="1:32">
      <c r="A39" s="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36"/>
      <c r="M39" s="63"/>
      <c r="N39" s="195"/>
      <c r="O39" s="195"/>
      <c r="P39" s="36"/>
      <c r="Q39" s="35"/>
      <c r="R39" s="35"/>
      <c r="S39" s="36"/>
      <c r="T39" s="195"/>
      <c r="U39" s="195"/>
      <c r="V39" s="35"/>
      <c r="W39" s="195"/>
      <c r="X39" s="2"/>
    </row>
    <row r="40" spans="1:32">
      <c r="A40" s="68"/>
      <c r="B40" s="3"/>
      <c r="C40" s="3"/>
      <c r="D40" s="3"/>
      <c r="E40" s="3"/>
      <c r="F40" s="3"/>
      <c r="G40" s="3"/>
      <c r="H40" s="3"/>
      <c r="I40" s="3"/>
      <c r="J40" s="3"/>
      <c r="K40" s="3"/>
      <c r="L40" s="34"/>
      <c r="M40" s="69"/>
      <c r="N40" s="3"/>
      <c r="O40" s="3"/>
      <c r="P40" s="34"/>
      <c r="Q40" s="33"/>
      <c r="R40" s="33"/>
      <c r="S40" s="34"/>
      <c r="T40" s="3"/>
      <c r="U40" s="3"/>
      <c r="V40" s="35"/>
      <c r="W40" s="195"/>
      <c r="X40" s="2"/>
    </row>
    <row r="41" spans="1:32">
      <c r="A41" s="1150" t="s">
        <v>110</v>
      </c>
      <c r="B41" s="1151"/>
      <c r="C41" s="1151"/>
      <c r="D41" s="1151"/>
      <c r="E41" s="1151"/>
      <c r="F41" s="1151"/>
      <c r="G41" s="1151"/>
      <c r="H41" s="1151"/>
      <c r="I41" s="1151"/>
      <c r="J41" s="1151"/>
      <c r="K41" s="1151"/>
      <c r="L41" s="1151"/>
      <c r="M41" s="1151"/>
      <c r="N41" s="1151"/>
      <c r="O41" s="1151"/>
      <c r="P41" s="1151"/>
      <c r="Q41" s="1151"/>
      <c r="R41" s="1151"/>
      <c r="S41" s="1151"/>
      <c r="T41" s="1151"/>
      <c r="U41" s="1152"/>
      <c r="V41" s="1595">
        <f>V32+V33+V34+V36</f>
        <v>3780000</v>
      </c>
      <c r="W41" s="1596"/>
      <c r="X41" s="1597"/>
      <c r="AC41" s="79"/>
    </row>
    <row r="42" spans="1:32" ht="20.25" customHeight="1">
      <c r="A42" s="866" t="s">
        <v>105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865"/>
    </row>
    <row r="43" spans="1:32">
      <c r="A43" s="5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146" t="s">
        <v>584</v>
      </c>
      <c r="S43" s="1146"/>
      <c r="T43" s="1146"/>
      <c r="U43" s="1146"/>
      <c r="V43" s="1146"/>
      <c r="W43" s="1146"/>
      <c r="X43" s="1149"/>
    </row>
    <row r="44" spans="1:32">
      <c r="A44" s="5" t="s">
        <v>106</v>
      </c>
      <c r="B44" s="195"/>
      <c r="C44" s="195"/>
      <c r="D44" s="195"/>
      <c r="E44" s="195" t="s">
        <v>6</v>
      </c>
      <c r="F44" s="195" t="s">
        <v>17</v>
      </c>
      <c r="G44" s="195"/>
      <c r="H44" s="195"/>
      <c r="I44" s="1128">
        <v>945000</v>
      </c>
      <c r="J44" s="1128"/>
      <c r="K44" s="1128"/>
      <c r="L44" s="1128"/>
      <c r="M44" s="1128"/>
      <c r="N44" s="195"/>
      <c r="O44" s="195"/>
      <c r="P44" s="195"/>
      <c r="Q44" s="195"/>
      <c r="R44" s="1146" t="s">
        <v>585</v>
      </c>
      <c r="S44" s="1146"/>
      <c r="T44" s="1146"/>
      <c r="U44" s="1146"/>
      <c r="V44" s="1146"/>
      <c r="W44" s="1146"/>
      <c r="X44" s="1149"/>
      <c r="Z44" s="79"/>
    </row>
    <row r="45" spans="1:32">
      <c r="A45" s="5" t="s">
        <v>107</v>
      </c>
      <c r="B45" s="195"/>
      <c r="C45" s="195"/>
      <c r="D45" s="195"/>
      <c r="E45" s="195" t="s">
        <v>6</v>
      </c>
      <c r="F45" s="195" t="s">
        <v>17</v>
      </c>
      <c r="G45" s="195"/>
      <c r="H45" s="195"/>
      <c r="I45" s="1128">
        <v>945000</v>
      </c>
      <c r="J45" s="1128"/>
      <c r="K45" s="1128"/>
      <c r="L45" s="1128"/>
      <c r="M45" s="1128"/>
      <c r="N45" s="195"/>
      <c r="O45" s="195"/>
      <c r="P45" s="195"/>
      <c r="Q45" s="195"/>
      <c r="R45" s="195"/>
      <c r="S45" s="195"/>
      <c r="T45" s="1146"/>
      <c r="U45" s="1146"/>
      <c r="V45" s="1146"/>
      <c r="W45" s="1146"/>
      <c r="X45" s="2"/>
      <c r="Z45" s="79"/>
    </row>
    <row r="46" spans="1:32">
      <c r="A46" s="5" t="s">
        <v>108</v>
      </c>
      <c r="B46" s="195"/>
      <c r="C46" s="195"/>
      <c r="D46" s="195"/>
      <c r="E46" s="195" t="s">
        <v>6</v>
      </c>
      <c r="F46" s="195" t="s">
        <v>17</v>
      </c>
      <c r="G46" s="195"/>
      <c r="H46" s="195"/>
      <c r="I46" s="1128">
        <v>945000</v>
      </c>
      <c r="J46" s="1128"/>
      <c r="K46" s="1128"/>
      <c r="L46" s="1128"/>
      <c r="M46" s="1128"/>
      <c r="N46" s="195"/>
      <c r="O46" s="195"/>
      <c r="P46" s="195"/>
      <c r="Q46" s="195"/>
      <c r="R46" s="195"/>
      <c r="S46" s="195"/>
      <c r="T46" s="826"/>
      <c r="U46" s="826"/>
      <c r="V46" s="826"/>
      <c r="W46" s="826"/>
      <c r="X46" s="2"/>
    </row>
    <row r="47" spans="1:32">
      <c r="A47" s="5" t="s">
        <v>109</v>
      </c>
      <c r="B47" s="195"/>
      <c r="C47" s="195"/>
      <c r="D47" s="195"/>
      <c r="E47" s="195" t="s">
        <v>6</v>
      </c>
      <c r="F47" s="3" t="s">
        <v>17</v>
      </c>
      <c r="G47" s="3"/>
      <c r="H47" s="3"/>
      <c r="I47" s="1666">
        <v>945000</v>
      </c>
      <c r="J47" s="1666"/>
      <c r="K47" s="1666"/>
      <c r="L47" s="1666"/>
      <c r="M47" s="1666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2"/>
    </row>
    <row r="48" spans="1:32">
      <c r="A48" s="5" t="s">
        <v>15</v>
      </c>
      <c r="B48" s="195"/>
      <c r="C48" s="195"/>
      <c r="D48" s="195"/>
      <c r="E48" s="195" t="s">
        <v>6</v>
      </c>
      <c r="F48" s="195" t="s">
        <v>17</v>
      </c>
      <c r="G48" s="195"/>
      <c r="H48" s="195"/>
      <c r="I48" s="1128">
        <f>SUM(I44:L47)</f>
        <v>3780000</v>
      </c>
      <c r="J48" s="1128"/>
      <c r="K48" s="1128"/>
      <c r="L48" s="1128"/>
      <c r="M48" s="1128"/>
      <c r="N48" s="195"/>
      <c r="O48" s="195"/>
      <c r="P48" s="195"/>
      <c r="Q48" s="195"/>
      <c r="R48" s="1357" t="s">
        <v>849</v>
      </c>
      <c r="S48" s="1357"/>
      <c r="T48" s="1357"/>
      <c r="U48" s="1357"/>
      <c r="V48" s="1357"/>
      <c r="W48" s="1357"/>
      <c r="X48" s="1358"/>
    </row>
    <row r="49" spans="1:24">
      <c r="A49" s="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359" t="s">
        <v>914</v>
      </c>
      <c r="S49" s="1146"/>
      <c r="T49" s="1146"/>
      <c r="U49" s="1146"/>
      <c r="V49" s="1146"/>
      <c r="W49" s="1146"/>
      <c r="X49" s="1149"/>
    </row>
    <row r="50" spans="1:24">
      <c r="A50" s="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3"/>
      <c r="R50" s="1428"/>
      <c r="S50" s="1143"/>
      <c r="T50" s="1143"/>
      <c r="U50" s="1143"/>
      <c r="V50" s="1143"/>
      <c r="W50" s="1143"/>
      <c r="X50" s="1144"/>
    </row>
    <row r="51" spans="1:24">
      <c r="A51" s="1418" t="s">
        <v>1034</v>
      </c>
      <c r="B51" s="1400"/>
      <c r="C51" s="1400"/>
      <c r="D51" s="1400"/>
      <c r="E51" s="1400"/>
      <c r="F51" s="1400"/>
      <c r="G51" s="1400"/>
      <c r="H51" s="1400"/>
      <c r="I51" s="1400"/>
      <c r="J51" s="1400"/>
      <c r="K51" s="1400"/>
      <c r="L51" s="1400"/>
      <c r="M51" s="1400"/>
      <c r="N51" s="1400"/>
      <c r="O51" s="1400"/>
      <c r="P51" s="1400"/>
      <c r="Q51" s="3"/>
      <c r="R51" s="1456" t="s">
        <v>921</v>
      </c>
      <c r="S51" s="1146"/>
      <c r="T51" s="1146"/>
      <c r="U51" s="1146"/>
      <c r="V51" s="1146"/>
      <c r="W51" s="1146"/>
      <c r="X51" s="1149"/>
    </row>
    <row r="52" spans="1:24">
      <c r="A52" s="266"/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195"/>
      <c r="R52" s="306"/>
      <c r="S52" s="308"/>
      <c r="T52" s="308"/>
      <c r="U52" s="308"/>
      <c r="V52" s="308"/>
      <c r="W52" s="308"/>
      <c r="X52" s="307"/>
    </row>
    <row r="53" spans="1:24">
      <c r="A53" s="5">
        <v>1</v>
      </c>
      <c r="B53" s="195" t="s">
        <v>460</v>
      </c>
      <c r="C53" s="195"/>
      <c r="D53" s="195"/>
      <c r="E53" s="195"/>
      <c r="F53" s="195"/>
      <c r="G53" s="195"/>
      <c r="H53" s="195"/>
      <c r="I53" s="195"/>
      <c r="J53" s="195"/>
      <c r="K53" s="195" t="s">
        <v>193</v>
      </c>
      <c r="L53" s="195"/>
      <c r="M53" s="195"/>
      <c r="N53" s="195"/>
      <c r="O53" s="195"/>
      <c r="P53" s="195"/>
      <c r="Q53" s="195"/>
      <c r="R53" s="1147" t="s">
        <v>155</v>
      </c>
      <c r="S53" s="1146"/>
      <c r="T53" s="1146"/>
      <c r="U53" s="1146"/>
      <c r="V53" s="1146"/>
      <c r="W53" s="1146"/>
      <c r="X53" s="1149"/>
    </row>
    <row r="54" spans="1:24">
      <c r="A54" s="5"/>
      <c r="B54" t="s">
        <v>1019</v>
      </c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147" t="s">
        <v>114</v>
      </c>
      <c r="S54" s="1146"/>
      <c r="T54" s="1146"/>
      <c r="U54" s="1146"/>
      <c r="V54" s="1146"/>
      <c r="W54" s="1146"/>
      <c r="X54" s="1149"/>
    </row>
    <row r="55" spans="1:24">
      <c r="A55" s="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35"/>
      <c r="S55" s="195"/>
      <c r="T55" s="195"/>
      <c r="U55" s="195"/>
      <c r="V55" s="195"/>
      <c r="W55" s="195"/>
      <c r="X55" s="2"/>
    </row>
    <row r="56" spans="1:24">
      <c r="A56" s="5">
        <v>2</v>
      </c>
      <c r="B56" s="195" t="s">
        <v>194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 t="s">
        <v>195</v>
      </c>
      <c r="O56" s="195"/>
      <c r="P56" s="195"/>
      <c r="Q56" s="195"/>
      <c r="R56" s="35"/>
      <c r="S56" s="195"/>
      <c r="T56" s="195"/>
      <c r="U56" s="195"/>
      <c r="V56" s="195"/>
      <c r="W56" s="195"/>
      <c r="X56" s="2"/>
    </row>
    <row r="57" spans="1:24">
      <c r="A57" s="5"/>
      <c r="B57" s="45" t="s">
        <v>1019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35"/>
      <c r="S57" s="195"/>
      <c r="T57" s="195"/>
      <c r="U57" s="195"/>
      <c r="V57" s="195"/>
      <c r="W57" s="195"/>
      <c r="X57" s="2"/>
    </row>
    <row r="58" spans="1:24">
      <c r="A58" s="5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427" t="s">
        <v>115</v>
      </c>
      <c r="S58" s="1357"/>
      <c r="T58" s="1357"/>
      <c r="U58" s="1357"/>
      <c r="V58" s="1357"/>
      <c r="W58" s="1357"/>
      <c r="X58" s="1358"/>
    </row>
    <row r="59" spans="1:24">
      <c r="A59" s="5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147" t="s">
        <v>116</v>
      </c>
      <c r="S59" s="1146"/>
      <c r="T59" s="1146"/>
      <c r="U59" s="1146"/>
      <c r="V59" s="1146"/>
      <c r="W59" s="1146"/>
      <c r="X59" s="1149"/>
    </row>
    <row r="60" spans="1:24" ht="15.75" thickBot="1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50"/>
      <c r="S60" s="49"/>
      <c r="T60" s="49"/>
      <c r="U60" s="49"/>
      <c r="V60" s="49"/>
      <c r="W60" s="49"/>
      <c r="X60" s="86"/>
    </row>
  </sheetData>
  <mergeCells count="90">
    <mergeCell ref="A26:L26"/>
    <mergeCell ref="M26:P26"/>
    <mergeCell ref="V26:X26"/>
    <mergeCell ref="Z35:AA35"/>
    <mergeCell ref="AB35:AC35"/>
    <mergeCell ref="A28:L28"/>
    <mergeCell ref="V28:X28"/>
    <mergeCell ref="A29:L29"/>
    <mergeCell ref="V29:X29"/>
    <mergeCell ref="A30:L30"/>
    <mergeCell ref="V30:X30"/>
    <mergeCell ref="V31:X31"/>
    <mergeCell ref="R32:S32"/>
    <mergeCell ref="T32:U32"/>
    <mergeCell ref="V32:X32"/>
    <mergeCell ref="AD35:AF35"/>
    <mergeCell ref="Z33:AA33"/>
    <mergeCell ref="AB33:AC33"/>
    <mergeCell ref="AD33:AF33"/>
    <mergeCell ref="Z34:AA34"/>
    <mergeCell ref="AB34:AC34"/>
    <mergeCell ref="AD34:AF34"/>
    <mergeCell ref="AD30:AF30"/>
    <mergeCell ref="AD31:AF31"/>
    <mergeCell ref="Z32:AA32"/>
    <mergeCell ref="AB32:AC32"/>
    <mergeCell ref="AD32:AF32"/>
    <mergeCell ref="Y23:AA23"/>
    <mergeCell ref="AD27:AF27"/>
    <mergeCell ref="AD28:AF28"/>
    <mergeCell ref="AD29:AF29"/>
    <mergeCell ref="R49:X49"/>
    <mergeCell ref="R34:S34"/>
    <mergeCell ref="T34:U34"/>
    <mergeCell ref="V34:X34"/>
    <mergeCell ref="V36:X36"/>
    <mergeCell ref="A41:U41"/>
    <mergeCell ref="V41:X41"/>
    <mergeCell ref="R33:S33"/>
    <mergeCell ref="T33:U33"/>
    <mergeCell ref="V33:X33"/>
    <mergeCell ref="A27:L27"/>
    <mergeCell ref="V27:X27"/>
    <mergeCell ref="R50:X50"/>
    <mergeCell ref="I47:M47"/>
    <mergeCell ref="R59:X59"/>
    <mergeCell ref="A51:P51"/>
    <mergeCell ref="R51:X51"/>
    <mergeCell ref="R53:X53"/>
    <mergeCell ref="R54:X54"/>
    <mergeCell ref="R58:X58"/>
    <mergeCell ref="I46:M46"/>
    <mergeCell ref="I48:M48"/>
    <mergeCell ref="R48:X48"/>
    <mergeCell ref="R43:X43"/>
    <mergeCell ref="I44:M44"/>
    <mergeCell ref="R44:X44"/>
    <mergeCell ref="I45:M45"/>
    <mergeCell ref="T45:W45"/>
    <mergeCell ref="A23:L23"/>
    <mergeCell ref="M23:P23"/>
    <mergeCell ref="Q23:U23"/>
    <mergeCell ref="V23:X23"/>
    <mergeCell ref="A24:L24"/>
    <mergeCell ref="R24:S24"/>
    <mergeCell ref="T24:U24"/>
    <mergeCell ref="V24:X24"/>
    <mergeCell ref="A25:L25"/>
    <mergeCell ref="M25:P25"/>
    <mergeCell ref="R25:S25"/>
    <mergeCell ref="T25:U25"/>
    <mergeCell ref="V25:X25"/>
    <mergeCell ref="A22:X22"/>
    <mergeCell ref="A14:X14"/>
    <mergeCell ref="A15:F15"/>
    <mergeCell ref="I15:T15"/>
    <mergeCell ref="U15:X15"/>
    <mergeCell ref="U16:X16"/>
    <mergeCell ref="V17:X17"/>
    <mergeCell ref="U18:X18"/>
    <mergeCell ref="U19:X19"/>
    <mergeCell ref="A21:X21"/>
    <mergeCell ref="W4:X4"/>
    <mergeCell ref="A4:V4"/>
    <mergeCell ref="A5:V5"/>
    <mergeCell ref="W3:X3"/>
    <mergeCell ref="A1:N1"/>
    <mergeCell ref="W1:X1"/>
    <mergeCell ref="A2:N2"/>
    <mergeCell ref="W2:X2"/>
  </mergeCells>
  <pageMargins left="0.7" right="0.7" top="0.75" bottom="0.75" header="0.3" footer="0.3"/>
  <pageSetup paperSize="5" scale="80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58"/>
  <sheetViews>
    <sheetView view="pageLayout" workbookViewId="0">
      <selection activeCell="P7" sqref="P7"/>
    </sheetView>
  </sheetViews>
  <sheetFormatPr defaultRowHeight="15"/>
  <cols>
    <col min="1" max="1" width="2.42578125" customWidth="1"/>
    <col min="2" max="2" width="3" customWidth="1"/>
    <col min="3" max="3" width="4" customWidth="1"/>
    <col min="4" max="4" width="3.28515625" customWidth="1"/>
    <col min="5" max="5" width="3" customWidth="1"/>
    <col min="6" max="6" width="3.85546875" customWidth="1"/>
    <col min="7" max="7" width="2.5703125" customWidth="1"/>
    <col min="8" max="8" width="2" customWidth="1"/>
    <col min="9" max="9" width="2.140625" customWidth="1"/>
    <col min="10" max="10" width="1.5703125" customWidth="1"/>
    <col min="11" max="11" width="2.7109375" customWidth="1"/>
    <col min="12" max="12" width="1" customWidth="1"/>
    <col min="13" max="13" width="6" customWidth="1"/>
    <col min="16" max="16" width="5.7109375" customWidth="1"/>
    <col min="17" max="17" width="5.28515625" customWidth="1"/>
    <col min="18" max="18" width="3.28515625" customWidth="1"/>
    <col min="19" max="19" width="4.5703125" customWidth="1"/>
    <col min="20" max="20" width="4.85546875" customWidth="1"/>
    <col min="21" max="21" width="3.42578125" customWidth="1"/>
    <col min="22" max="22" width="3.140625" customWidth="1"/>
    <col min="23" max="23" width="4.140625" customWidth="1"/>
    <col min="24" max="24" width="9.85546875" customWidth="1"/>
    <col min="25" max="25" width="13.28515625" bestFit="1" customWidth="1"/>
    <col min="26" max="26" width="13.28515625" customWidth="1"/>
    <col min="29" max="29" width="11.5703125" customWidth="1"/>
  </cols>
  <sheetData>
    <row r="1" spans="1:24" ht="15.75">
      <c r="A1" s="1386" t="s">
        <v>0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831"/>
      <c r="P1" s="830" t="s">
        <v>559</v>
      </c>
      <c r="Q1" s="824" t="s">
        <v>559</v>
      </c>
      <c r="R1" s="42" t="s">
        <v>157</v>
      </c>
      <c r="S1" s="42" t="s">
        <v>157</v>
      </c>
      <c r="T1" s="42" t="s">
        <v>316</v>
      </c>
      <c r="U1" s="824" t="s">
        <v>158</v>
      </c>
      <c r="V1" s="825" t="s">
        <v>159</v>
      </c>
      <c r="W1" s="1533"/>
      <c r="X1" s="1168"/>
    </row>
    <row r="2" spans="1:24" ht="15.75">
      <c r="A2" s="1389" t="s">
        <v>2</v>
      </c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832"/>
      <c r="P2" s="822"/>
      <c r="Q2" s="826"/>
      <c r="R2" s="867"/>
      <c r="S2" s="867"/>
      <c r="T2" s="867"/>
      <c r="U2" s="826"/>
      <c r="V2" s="823"/>
      <c r="W2" s="1145" t="s">
        <v>1</v>
      </c>
      <c r="X2" s="1149"/>
    </row>
    <row r="3" spans="1:24" ht="15.75">
      <c r="A3" s="868"/>
      <c r="B3" s="869"/>
      <c r="C3" s="869"/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70"/>
      <c r="P3" s="54"/>
      <c r="Q3" s="132"/>
      <c r="R3" s="132"/>
      <c r="S3" s="56"/>
      <c r="T3" s="56"/>
      <c r="U3" s="3"/>
      <c r="V3" s="4"/>
      <c r="W3" s="1145"/>
      <c r="X3" s="1149"/>
    </row>
    <row r="4" spans="1:24">
      <c r="A4" s="1515" t="s">
        <v>717</v>
      </c>
      <c r="B4" s="1516"/>
      <c r="C4" s="1516"/>
      <c r="D4" s="1516"/>
      <c r="E4" s="1516"/>
      <c r="F4" s="1516"/>
      <c r="G4" s="1516"/>
      <c r="H4" s="1516"/>
      <c r="I4" s="1516"/>
      <c r="J4" s="1516"/>
      <c r="K4" s="1516"/>
      <c r="L4" s="1516"/>
      <c r="M4" s="1516"/>
      <c r="N4" s="1516"/>
      <c r="O4" s="1516"/>
      <c r="P4" s="1516"/>
      <c r="Q4" s="1516"/>
      <c r="R4" s="1516"/>
      <c r="S4" s="1516"/>
      <c r="T4" s="1516"/>
      <c r="U4" s="1516"/>
      <c r="V4" s="1517"/>
      <c r="W4" s="1145" t="s">
        <v>1043</v>
      </c>
      <c r="X4" s="1149"/>
    </row>
    <row r="5" spans="1:24">
      <c r="A5" s="1518" t="s">
        <v>922</v>
      </c>
      <c r="B5" s="1519"/>
      <c r="C5" s="1519"/>
      <c r="D5" s="1519"/>
      <c r="E5" s="1519"/>
      <c r="F5" s="1519"/>
      <c r="G5" s="1519"/>
      <c r="H5" s="1519"/>
      <c r="I5" s="1519"/>
      <c r="J5" s="1519"/>
      <c r="K5" s="1519"/>
      <c r="L5" s="1519"/>
      <c r="M5" s="1519"/>
      <c r="N5" s="1519"/>
      <c r="O5" s="1519"/>
      <c r="P5" s="1519"/>
      <c r="Q5" s="1519"/>
      <c r="R5" s="1519"/>
      <c r="S5" s="1519"/>
      <c r="T5" s="1519"/>
      <c r="U5" s="1519"/>
      <c r="V5" s="1520"/>
      <c r="W5" s="850"/>
      <c r="X5" s="851"/>
    </row>
    <row r="6" spans="1:24">
      <c r="A6" s="840" t="s">
        <v>5</v>
      </c>
      <c r="B6" s="230"/>
      <c r="C6" s="195"/>
      <c r="D6" s="195"/>
      <c r="E6" s="195"/>
      <c r="F6" s="195"/>
      <c r="G6" s="195"/>
      <c r="H6" s="195"/>
      <c r="I6" s="195"/>
      <c r="J6" s="195"/>
      <c r="K6" s="195" t="s">
        <v>6</v>
      </c>
      <c r="L6" s="195" t="s">
        <v>559</v>
      </c>
      <c r="M6" s="195"/>
      <c r="N6" s="195"/>
      <c r="O6" s="195"/>
      <c r="P6" s="195"/>
      <c r="Q6" s="195" t="s">
        <v>8</v>
      </c>
      <c r="R6" s="195"/>
      <c r="S6" s="195"/>
      <c r="T6" s="195"/>
      <c r="U6" s="195"/>
      <c r="V6" s="195"/>
      <c r="W6" s="195"/>
      <c r="X6" s="2"/>
    </row>
    <row r="7" spans="1:24">
      <c r="A7" s="840" t="s">
        <v>9</v>
      </c>
      <c r="B7" s="230"/>
      <c r="C7" s="195"/>
      <c r="D7" s="195"/>
      <c r="E7" s="195"/>
      <c r="F7" s="195"/>
      <c r="G7" s="195"/>
      <c r="H7" s="195"/>
      <c r="I7" s="195"/>
      <c r="J7" s="195"/>
      <c r="K7" s="195" t="s">
        <v>6</v>
      </c>
      <c r="L7" s="6" t="s">
        <v>529</v>
      </c>
      <c r="M7" s="6"/>
      <c r="N7" s="195"/>
      <c r="O7" s="195"/>
      <c r="P7" s="195"/>
      <c r="Q7" s="195" t="s">
        <v>11</v>
      </c>
      <c r="R7" s="195"/>
      <c r="S7" s="195"/>
      <c r="T7" s="195"/>
      <c r="U7" s="195"/>
      <c r="V7" s="195"/>
      <c r="W7" s="195"/>
      <c r="X7" s="2"/>
    </row>
    <row r="8" spans="1:24">
      <c r="A8" s="840" t="s">
        <v>162</v>
      </c>
      <c r="B8" s="230"/>
      <c r="C8" s="195"/>
      <c r="D8" s="195"/>
      <c r="E8" s="195"/>
      <c r="F8" s="195"/>
      <c r="G8" s="195"/>
      <c r="H8" s="195"/>
      <c r="I8" s="195"/>
      <c r="J8" s="195"/>
      <c r="K8" s="195" t="s">
        <v>6</v>
      </c>
      <c r="L8" s="195" t="s">
        <v>530</v>
      </c>
      <c r="M8" s="195"/>
      <c r="N8" s="195"/>
      <c r="O8" s="195"/>
      <c r="P8" s="195"/>
      <c r="Q8" s="195" t="s">
        <v>163</v>
      </c>
      <c r="R8" s="195"/>
      <c r="S8" s="195"/>
      <c r="T8" s="195"/>
      <c r="U8" s="195"/>
      <c r="V8" s="195"/>
      <c r="W8" s="195"/>
      <c r="X8" s="2"/>
    </row>
    <row r="9" spans="1:24">
      <c r="A9" s="5" t="s">
        <v>58</v>
      </c>
      <c r="B9" s="195"/>
      <c r="C9" s="195"/>
      <c r="D9" s="195"/>
      <c r="E9" s="195"/>
      <c r="F9" s="195"/>
      <c r="G9" s="195"/>
      <c r="H9" s="195"/>
      <c r="I9" s="195"/>
      <c r="J9" s="195"/>
      <c r="K9" s="195" t="s">
        <v>6</v>
      </c>
      <c r="L9" s="195" t="s">
        <v>973</v>
      </c>
      <c r="M9" s="195"/>
      <c r="N9" s="195"/>
      <c r="O9" s="195"/>
      <c r="P9" s="195"/>
      <c r="Q9" s="195" t="s">
        <v>83</v>
      </c>
      <c r="R9" s="195"/>
      <c r="S9" s="195"/>
      <c r="T9" s="195"/>
      <c r="U9" s="195"/>
      <c r="V9" s="195"/>
      <c r="W9" s="195"/>
      <c r="X9" s="2"/>
    </row>
    <row r="10" spans="1:24">
      <c r="A10" s="5" t="s">
        <v>165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 t="s">
        <v>6</v>
      </c>
      <c r="L10" s="195" t="s">
        <v>923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2"/>
    </row>
    <row r="11" spans="1:24">
      <c r="A11" s="5" t="s">
        <v>1021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 t="s">
        <v>6</v>
      </c>
      <c r="L11" s="66" t="s">
        <v>919</v>
      </c>
      <c r="M11" s="195"/>
      <c r="N11" s="195"/>
      <c r="O11" s="195"/>
      <c r="P11" s="195"/>
      <c r="Q11" s="45"/>
      <c r="R11" s="195"/>
      <c r="S11" s="195"/>
      <c r="T11" s="195"/>
      <c r="U11" s="195"/>
      <c r="V11" s="195"/>
      <c r="W11" s="195"/>
      <c r="X11" s="2"/>
    </row>
    <row r="12" spans="1:24">
      <c r="A12" s="5" t="s">
        <v>167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 t="s">
        <v>6</v>
      </c>
      <c r="L12" s="195" t="s">
        <v>68</v>
      </c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2"/>
    </row>
    <row r="13" spans="1:24">
      <c r="A13" s="1418" t="s">
        <v>260</v>
      </c>
      <c r="B13" s="1400"/>
      <c r="C13" s="1400"/>
      <c r="D13" s="1400"/>
      <c r="E13" s="1400"/>
      <c r="F13" s="1400"/>
      <c r="G13" s="1400"/>
      <c r="H13" s="1400"/>
      <c r="I13" s="1400"/>
      <c r="J13" s="1400"/>
      <c r="K13" s="1400"/>
      <c r="L13" s="1400"/>
      <c r="M13" s="1400"/>
      <c r="N13" s="1400"/>
      <c r="O13" s="1400"/>
      <c r="P13" s="1400"/>
      <c r="Q13" s="1400"/>
      <c r="R13" s="1400"/>
      <c r="S13" s="1400"/>
      <c r="T13" s="1400"/>
      <c r="U13" s="1400"/>
      <c r="V13" s="1400"/>
      <c r="W13" s="1400"/>
      <c r="X13" s="1405"/>
    </row>
    <row r="14" spans="1:24">
      <c r="A14" s="1418" t="s">
        <v>169</v>
      </c>
      <c r="B14" s="1400"/>
      <c r="C14" s="1400"/>
      <c r="D14" s="1400"/>
      <c r="E14" s="1400"/>
      <c r="F14" s="1400"/>
      <c r="G14" s="556"/>
      <c r="H14" s="556"/>
      <c r="I14" s="1399" t="s">
        <v>170</v>
      </c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3"/>
      <c r="U14" s="1399" t="s">
        <v>171</v>
      </c>
      <c r="V14" s="1400"/>
      <c r="W14" s="1400"/>
      <c r="X14" s="1405"/>
    </row>
    <row r="15" spans="1:24">
      <c r="A15" s="80" t="s">
        <v>172</v>
      </c>
      <c r="B15" s="53"/>
      <c r="C15" s="53"/>
      <c r="D15" s="53"/>
      <c r="E15" s="53"/>
      <c r="F15" s="53"/>
      <c r="G15" s="53"/>
      <c r="H15" s="53"/>
      <c r="I15" s="27" t="s">
        <v>317</v>
      </c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59"/>
      <c r="U15" s="1554">
        <v>1</v>
      </c>
      <c r="V15" s="1555"/>
      <c r="W15" s="1555"/>
      <c r="X15" s="1556"/>
    </row>
    <row r="16" spans="1:24">
      <c r="A16" s="5" t="s">
        <v>174</v>
      </c>
      <c r="B16" s="195"/>
      <c r="C16" s="195"/>
      <c r="D16" s="195"/>
      <c r="E16" s="195"/>
      <c r="F16" s="195"/>
      <c r="G16" s="195"/>
      <c r="H16" s="195"/>
      <c r="I16" s="10" t="s">
        <v>175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36"/>
      <c r="U16" s="87" t="s">
        <v>154</v>
      </c>
      <c r="V16" s="1422">
        <f>V25</f>
        <v>10200000</v>
      </c>
      <c r="W16" s="1422"/>
      <c r="X16" s="1423"/>
    </row>
    <row r="17" spans="1:32">
      <c r="A17" s="5" t="s">
        <v>176</v>
      </c>
      <c r="B17" s="195"/>
      <c r="C17" s="195"/>
      <c r="D17" s="195"/>
      <c r="E17" s="195"/>
      <c r="F17" s="195"/>
      <c r="G17" s="195"/>
      <c r="H17" s="195"/>
      <c r="I17" s="10" t="s">
        <v>318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36"/>
      <c r="U17" s="1147" t="s">
        <v>178</v>
      </c>
      <c r="V17" s="1146"/>
      <c r="W17" s="1146"/>
      <c r="X17" s="1149"/>
    </row>
    <row r="18" spans="1:32">
      <c r="A18" s="68" t="s">
        <v>179</v>
      </c>
      <c r="B18" s="3"/>
      <c r="C18" s="3"/>
      <c r="D18" s="3"/>
      <c r="E18" s="3"/>
      <c r="F18" s="3"/>
      <c r="G18" s="3"/>
      <c r="H18" s="3"/>
      <c r="I18" s="24" t="s">
        <v>319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34"/>
      <c r="U18" s="1336" t="s">
        <v>181</v>
      </c>
      <c r="V18" s="1143"/>
      <c r="W18" s="1143"/>
      <c r="X18" s="1144"/>
    </row>
    <row r="19" spans="1:32">
      <c r="A19" s="5" t="s">
        <v>182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 t="s">
        <v>6</v>
      </c>
      <c r="M19" s="195" t="s">
        <v>920</v>
      </c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2"/>
    </row>
    <row r="20" spans="1:32">
      <c r="A20" s="1321" t="s">
        <v>718</v>
      </c>
      <c r="B20" s="1322"/>
      <c r="C20" s="1322"/>
      <c r="D20" s="1322"/>
      <c r="E20" s="1322"/>
      <c r="F20" s="1322"/>
      <c r="G20" s="1322"/>
      <c r="H20" s="1322"/>
      <c r="I20" s="1322"/>
      <c r="J20" s="1322"/>
      <c r="K20" s="1322"/>
      <c r="L20" s="1322"/>
      <c r="M20" s="1322"/>
      <c r="N20" s="1322"/>
      <c r="O20" s="1322"/>
      <c r="P20" s="1322"/>
      <c r="Q20" s="1322"/>
      <c r="R20" s="1322"/>
      <c r="S20" s="1322"/>
      <c r="T20" s="1322"/>
      <c r="U20" s="1322"/>
      <c r="V20" s="1322"/>
      <c r="W20" s="1322"/>
      <c r="X20" s="1323"/>
    </row>
    <row r="21" spans="1:32">
      <c r="A21" s="1164" t="s">
        <v>719</v>
      </c>
      <c r="B21" s="1165"/>
      <c r="C21" s="1165"/>
      <c r="D21" s="1165"/>
      <c r="E21" s="1165"/>
      <c r="F21" s="1165"/>
      <c r="G21" s="1165"/>
      <c r="H21" s="1165"/>
      <c r="I21" s="1165"/>
      <c r="J21" s="1165"/>
      <c r="K21" s="1165"/>
      <c r="L21" s="1165"/>
      <c r="M21" s="1165"/>
      <c r="N21" s="1165"/>
      <c r="O21" s="1165"/>
      <c r="P21" s="1165"/>
      <c r="Q21" s="1165"/>
      <c r="R21" s="1165"/>
      <c r="S21" s="1165"/>
      <c r="T21" s="1165"/>
      <c r="U21" s="1165"/>
      <c r="V21" s="1165"/>
      <c r="W21" s="1165"/>
      <c r="X21" s="1393"/>
    </row>
    <row r="22" spans="1:32">
      <c r="A22" s="1139" t="s">
        <v>13</v>
      </c>
      <c r="B22" s="1140"/>
      <c r="C22" s="1140"/>
      <c r="D22" s="1140"/>
      <c r="E22" s="1140"/>
      <c r="F22" s="1140"/>
      <c r="G22" s="1140"/>
      <c r="H22" s="1140"/>
      <c r="I22" s="1140"/>
      <c r="J22" s="1140"/>
      <c r="K22" s="1140"/>
      <c r="L22" s="1327"/>
      <c r="M22" s="1328" t="s">
        <v>14</v>
      </c>
      <c r="N22" s="1140"/>
      <c r="O22" s="1140"/>
      <c r="P22" s="1327"/>
      <c r="Q22" s="1328" t="s">
        <v>446</v>
      </c>
      <c r="R22" s="1140"/>
      <c r="S22" s="1140"/>
      <c r="T22" s="1140"/>
      <c r="U22" s="1140"/>
      <c r="V22" s="1328" t="s">
        <v>15</v>
      </c>
      <c r="W22" s="1140"/>
      <c r="X22" s="1141"/>
      <c r="Y22" s="1146"/>
      <c r="Z22" s="1146"/>
      <c r="AA22" s="1146"/>
      <c r="AB22" s="195"/>
      <c r="AC22" s="195"/>
      <c r="AD22" s="195"/>
      <c r="AE22" s="195"/>
      <c r="AF22" s="195"/>
    </row>
    <row r="23" spans="1:32">
      <c r="A23" s="1145" t="s">
        <v>16</v>
      </c>
      <c r="B23" s="1146"/>
      <c r="C23" s="1146"/>
      <c r="D23" s="1146"/>
      <c r="E23" s="1146"/>
      <c r="F23" s="1146"/>
      <c r="G23" s="1146"/>
      <c r="H23" s="1146"/>
      <c r="I23" s="1146"/>
      <c r="J23" s="1146"/>
      <c r="K23" s="1146"/>
      <c r="L23" s="1148"/>
      <c r="M23" s="35"/>
      <c r="N23" s="195"/>
      <c r="O23" s="195"/>
      <c r="P23" s="36"/>
      <c r="Q23" s="40" t="s">
        <v>122</v>
      </c>
      <c r="R23" s="1153" t="s">
        <v>123</v>
      </c>
      <c r="S23" s="1152"/>
      <c r="T23" s="1153" t="s">
        <v>124</v>
      </c>
      <c r="U23" s="1152"/>
      <c r="V23" s="1147" t="s">
        <v>17</v>
      </c>
      <c r="W23" s="1146"/>
      <c r="X23" s="1149"/>
      <c r="Y23" s="195"/>
      <c r="Z23" s="195"/>
      <c r="AA23" s="195"/>
      <c r="AB23" s="195"/>
      <c r="AC23" s="195"/>
      <c r="AD23" s="195"/>
      <c r="AE23" s="195"/>
      <c r="AF23" s="195"/>
    </row>
    <row r="24" spans="1:32">
      <c r="A24" s="1153">
        <v>1</v>
      </c>
      <c r="B24" s="1151"/>
      <c r="C24" s="1151"/>
      <c r="D24" s="1151"/>
      <c r="E24" s="1151"/>
      <c r="F24" s="1151"/>
      <c r="G24" s="1151"/>
      <c r="H24" s="1151"/>
      <c r="I24" s="1151"/>
      <c r="J24" s="1151"/>
      <c r="K24" s="1151"/>
      <c r="L24" s="1152"/>
      <c r="M24" s="1153">
        <v>2</v>
      </c>
      <c r="N24" s="1151"/>
      <c r="O24" s="1151"/>
      <c r="P24" s="1152"/>
      <c r="Q24" s="40">
        <v>3</v>
      </c>
      <c r="R24" s="1153">
        <v>4</v>
      </c>
      <c r="S24" s="1152"/>
      <c r="T24" s="1153">
        <v>5</v>
      </c>
      <c r="U24" s="1152"/>
      <c r="V24" s="1153" t="s">
        <v>1041</v>
      </c>
      <c r="W24" s="1151"/>
      <c r="X24" s="1154"/>
      <c r="Y24" s="195"/>
      <c r="Z24" s="195"/>
      <c r="AA24" s="195"/>
      <c r="AB24" s="195"/>
      <c r="AC24" s="195"/>
      <c r="AD24" s="195"/>
      <c r="AE24" s="195"/>
      <c r="AF24" s="195"/>
    </row>
    <row r="25" spans="1:32">
      <c r="A25" s="1668" t="s">
        <v>737</v>
      </c>
      <c r="B25" s="1669"/>
      <c r="C25" s="1669"/>
      <c r="D25" s="1669"/>
      <c r="E25" s="1669"/>
      <c r="F25" s="1669"/>
      <c r="G25" s="1669"/>
      <c r="H25" s="1669"/>
      <c r="I25" s="1669"/>
      <c r="J25" s="1669"/>
      <c r="K25" s="1669"/>
      <c r="L25" s="1670"/>
      <c r="M25" s="1647" t="s">
        <v>551</v>
      </c>
      <c r="N25" s="1647"/>
      <c r="O25" s="1647"/>
      <c r="P25" s="1647"/>
      <c r="Q25" s="551"/>
      <c r="R25" s="551"/>
      <c r="S25" s="554"/>
      <c r="T25" s="553"/>
      <c r="U25" s="553"/>
      <c r="V25" s="1411">
        <f>V26</f>
        <v>10200000</v>
      </c>
      <c r="W25" s="1412"/>
      <c r="X25" s="1413"/>
      <c r="Y25" s="195"/>
      <c r="Z25" s="195"/>
      <c r="AA25" s="195"/>
      <c r="AB25" s="195"/>
      <c r="AC25" s="195"/>
      <c r="AD25" s="195"/>
      <c r="AE25" s="195"/>
      <c r="AF25" s="195"/>
    </row>
    <row r="26" spans="1:32">
      <c r="A26" s="1677" t="s">
        <v>738</v>
      </c>
      <c r="B26" s="1678"/>
      <c r="C26" s="1678"/>
      <c r="D26" s="1678"/>
      <c r="E26" s="1678"/>
      <c r="F26" s="1678"/>
      <c r="G26" s="1678"/>
      <c r="H26" s="1678"/>
      <c r="I26" s="1678"/>
      <c r="J26" s="1678"/>
      <c r="K26" s="1678"/>
      <c r="L26" s="1679"/>
      <c r="M26" s="585" t="s">
        <v>23</v>
      </c>
      <c r="N26" s="585"/>
      <c r="O26" s="585"/>
      <c r="P26" s="340"/>
      <c r="Q26" s="35"/>
      <c r="R26" s="35"/>
      <c r="S26" s="36"/>
      <c r="T26" s="195"/>
      <c r="U26" s="195"/>
      <c r="V26" s="1468">
        <f>V27</f>
        <v>10200000</v>
      </c>
      <c r="W26" s="1424"/>
      <c r="X26" s="1425"/>
      <c r="Y26" s="195"/>
      <c r="Z26" s="195"/>
      <c r="AA26" s="195"/>
      <c r="AB26" s="195"/>
      <c r="AC26" s="195"/>
      <c r="AD26" s="1424"/>
      <c r="AE26" s="1424"/>
      <c r="AF26" s="1424"/>
    </row>
    <row r="27" spans="1:32">
      <c r="A27" s="1677" t="s">
        <v>974</v>
      </c>
      <c r="B27" s="1678"/>
      <c r="C27" s="1678"/>
      <c r="D27" s="1678"/>
      <c r="E27" s="1678"/>
      <c r="F27" s="1678"/>
      <c r="G27" s="1678"/>
      <c r="H27" s="1678"/>
      <c r="I27" s="1678"/>
      <c r="J27" s="1678"/>
      <c r="K27" s="1678"/>
      <c r="L27" s="1679"/>
      <c r="M27" s="585" t="s">
        <v>216</v>
      </c>
      <c r="N27" s="328"/>
      <c r="O27" s="328"/>
      <c r="P27" s="340"/>
      <c r="Q27" s="35"/>
      <c r="R27" s="35"/>
      <c r="S27" s="36"/>
      <c r="T27" s="195"/>
      <c r="U27" s="195"/>
      <c r="V27" s="1468">
        <f>V28</f>
        <v>10200000</v>
      </c>
      <c r="W27" s="1424"/>
      <c r="X27" s="1425"/>
      <c r="Y27" s="195"/>
      <c r="Z27" s="195"/>
      <c r="AA27" s="195"/>
      <c r="AB27" s="195"/>
      <c r="AC27" s="195"/>
      <c r="AD27" s="1424"/>
      <c r="AE27" s="1424"/>
      <c r="AF27" s="1424"/>
    </row>
    <row r="28" spans="1:32" ht="15.75" customHeight="1">
      <c r="A28" s="1671" t="s">
        <v>975</v>
      </c>
      <c r="B28" s="1672"/>
      <c r="C28" s="1672"/>
      <c r="D28" s="1672"/>
      <c r="E28" s="1672"/>
      <c r="F28" s="1672"/>
      <c r="G28" s="1672"/>
      <c r="H28" s="1672"/>
      <c r="I28" s="1672"/>
      <c r="J28" s="1672"/>
      <c r="K28" s="1672"/>
      <c r="L28" s="1673"/>
      <c r="M28" s="1680" t="s">
        <v>978</v>
      </c>
      <c r="N28" s="1681"/>
      <c r="O28" s="1681"/>
      <c r="P28" s="1682"/>
      <c r="Q28" s="35"/>
      <c r="R28" s="35"/>
      <c r="S28" s="36"/>
      <c r="T28" s="195"/>
      <c r="U28" s="195"/>
      <c r="V28" s="1468">
        <f>V29+V33</f>
        <v>10200000</v>
      </c>
      <c r="W28" s="1424"/>
      <c r="X28" s="1425"/>
      <c r="Y28" s="195"/>
      <c r="Z28" s="195"/>
      <c r="AA28" s="195"/>
      <c r="AB28" s="195"/>
      <c r="AC28" s="195"/>
      <c r="AD28" s="1424"/>
      <c r="AE28" s="1424"/>
      <c r="AF28" s="1424"/>
    </row>
    <row r="29" spans="1:32">
      <c r="A29" s="1671" t="s">
        <v>592</v>
      </c>
      <c r="B29" s="1672"/>
      <c r="C29" s="1672"/>
      <c r="D29" s="1672"/>
      <c r="E29" s="1672"/>
      <c r="F29" s="1672"/>
      <c r="G29" s="1672"/>
      <c r="H29" s="1672"/>
      <c r="I29" s="1672"/>
      <c r="J29" s="1672"/>
      <c r="K29" s="1672"/>
      <c r="L29" s="1673"/>
      <c r="M29" s="195" t="s">
        <v>976</v>
      </c>
      <c r="N29" s="195"/>
      <c r="O29" s="195"/>
      <c r="P29" s="36"/>
      <c r="Q29" s="35"/>
      <c r="R29" s="35"/>
      <c r="S29" s="36"/>
      <c r="T29" s="195"/>
      <c r="U29" s="195"/>
      <c r="V29" s="1674">
        <f>V30+V31</f>
        <v>6700000</v>
      </c>
      <c r="W29" s="1675"/>
      <c r="X29" s="1676"/>
      <c r="Y29" s="195"/>
      <c r="Z29" s="195"/>
      <c r="AA29" s="195"/>
      <c r="AB29" s="195"/>
      <c r="AC29" s="195"/>
      <c r="AD29" s="1422"/>
      <c r="AE29" s="1422"/>
      <c r="AF29" s="1422"/>
    </row>
    <row r="30" spans="1:32">
      <c r="A30" s="5"/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36"/>
      <c r="M30" s="92" t="s">
        <v>977</v>
      </c>
      <c r="N30" s="195"/>
      <c r="O30" s="195"/>
      <c r="P30" s="36"/>
      <c r="Q30" s="551">
        <v>170</v>
      </c>
      <c r="R30" s="1147" t="s">
        <v>298</v>
      </c>
      <c r="S30" s="1148"/>
      <c r="T30" s="1683">
        <v>10000</v>
      </c>
      <c r="U30" s="1684"/>
      <c r="V30" s="1598">
        <f>Q30*T30</f>
        <v>1700000</v>
      </c>
      <c r="W30" s="1422"/>
      <c r="X30" s="1423"/>
      <c r="Y30" s="195"/>
      <c r="Z30" s="195"/>
      <c r="AA30" s="195"/>
      <c r="AB30" s="195"/>
      <c r="AC30" s="195"/>
      <c r="AD30" s="1422"/>
      <c r="AE30" s="1422"/>
      <c r="AF30" s="1422"/>
    </row>
    <row r="31" spans="1:32">
      <c r="A31" s="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36"/>
      <c r="M31" s="1691" t="s">
        <v>980</v>
      </c>
      <c r="N31" s="1692"/>
      <c r="O31" s="1692"/>
      <c r="P31" s="1693"/>
      <c r="Q31" s="551">
        <v>200</v>
      </c>
      <c r="R31" s="1147" t="s">
        <v>423</v>
      </c>
      <c r="S31" s="1148"/>
      <c r="T31" s="1349">
        <v>25000</v>
      </c>
      <c r="U31" s="1350"/>
      <c r="V31" s="1598">
        <f>Q31*T31</f>
        <v>5000000</v>
      </c>
      <c r="W31" s="1422"/>
      <c r="X31" s="1423"/>
      <c r="Y31" s="553"/>
      <c r="Z31" s="1146"/>
      <c r="AA31" s="1146"/>
      <c r="AB31" s="1352"/>
      <c r="AC31" s="1352"/>
      <c r="AD31" s="1422"/>
      <c r="AE31" s="1422"/>
      <c r="AF31" s="1422"/>
    </row>
    <row r="32" spans="1:32">
      <c r="A32" s="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36"/>
      <c r="M32" s="93"/>
      <c r="N32" s="195"/>
      <c r="O32" s="195"/>
      <c r="P32" s="36"/>
      <c r="Q32" s="551"/>
      <c r="R32" s="1147"/>
      <c r="S32" s="1148"/>
      <c r="T32" s="1349"/>
      <c r="U32" s="1350"/>
      <c r="V32" s="1598">
        <f>Q32*T32</f>
        <v>0</v>
      </c>
      <c r="W32" s="1422"/>
      <c r="X32" s="1423"/>
      <c r="Y32" s="553"/>
      <c r="Z32" s="1146"/>
      <c r="AA32" s="1146"/>
      <c r="AB32" s="1352"/>
      <c r="AC32" s="1352"/>
      <c r="AD32" s="1422"/>
      <c r="AE32" s="1422"/>
      <c r="AF32" s="1422"/>
    </row>
    <row r="33" spans="1:32">
      <c r="A33" s="1688" t="s">
        <v>593</v>
      </c>
      <c r="B33" s="1672"/>
      <c r="C33" s="1672"/>
      <c r="D33" s="1672"/>
      <c r="E33" s="1672"/>
      <c r="F33" s="1672"/>
      <c r="G33" s="1672"/>
      <c r="H33" s="1672"/>
      <c r="I33" s="1672"/>
      <c r="J33" s="1672"/>
      <c r="K33" s="1672"/>
      <c r="L33" s="1673"/>
      <c r="M33" s="1147" t="s">
        <v>979</v>
      </c>
      <c r="N33" s="1146"/>
      <c r="O33" s="1146"/>
      <c r="P33" s="1148"/>
      <c r="Q33" s="551"/>
      <c r="R33" s="1456"/>
      <c r="S33" s="1532"/>
      <c r="T33" s="1349"/>
      <c r="U33" s="1350"/>
      <c r="V33" s="1674">
        <f>V34+V35</f>
        <v>3500000</v>
      </c>
      <c r="W33" s="1675"/>
      <c r="X33" s="1676"/>
      <c r="Y33" s="553"/>
      <c r="Z33" s="1359"/>
      <c r="AA33" s="1359"/>
      <c r="AB33" s="1352"/>
      <c r="AC33" s="1352"/>
      <c r="AD33" s="1422"/>
      <c r="AE33" s="1422"/>
      <c r="AF33" s="1422"/>
    </row>
    <row r="34" spans="1:32">
      <c r="A34" s="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36"/>
      <c r="M34" s="92" t="s">
        <v>977</v>
      </c>
      <c r="N34" s="195"/>
      <c r="O34" s="195"/>
      <c r="P34" s="36"/>
      <c r="Q34" s="551">
        <v>100</v>
      </c>
      <c r="R34" s="1147" t="s">
        <v>298</v>
      </c>
      <c r="S34" s="1148"/>
      <c r="T34" s="1689">
        <v>10000</v>
      </c>
      <c r="U34" s="1690"/>
      <c r="V34" s="1687">
        <f>Q34*T34</f>
        <v>1000000</v>
      </c>
      <c r="W34" s="1146"/>
      <c r="X34" s="1149"/>
      <c r="Y34" s="248"/>
      <c r="Z34" s="1667"/>
      <c r="AA34" s="1146"/>
      <c r="AB34" s="1352"/>
      <c r="AC34" s="1352"/>
      <c r="AD34" s="1422"/>
      <c r="AE34" s="1422"/>
      <c r="AF34" s="1422"/>
    </row>
    <row r="35" spans="1:32">
      <c r="A35" s="5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36"/>
      <c r="M35" s="1691" t="s">
        <v>981</v>
      </c>
      <c r="N35" s="1692"/>
      <c r="O35" s="1692"/>
      <c r="P35" s="1693"/>
      <c r="Q35" s="551">
        <v>100</v>
      </c>
      <c r="R35" s="1147" t="s">
        <v>423</v>
      </c>
      <c r="S35" s="1148"/>
      <c r="T35" s="1689">
        <v>25000</v>
      </c>
      <c r="U35" s="1690"/>
      <c r="V35" s="1598">
        <f>Q35*T35</f>
        <v>2500000</v>
      </c>
      <c r="W35" s="1422"/>
      <c r="X35" s="1423"/>
      <c r="Y35" s="195"/>
      <c r="Z35" s="142"/>
      <c r="AA35" s="195"/>
      <c r="AB35" s="195"/>
      <c r="AC35" s="195"/>
      <c r="AD35" s="195"/>
      <c r="AE35" s="195"/>
      <c r="AF35" s="195"/>
    </row>
    <row r="36" spans="1:32">
      <c r="A36" s="5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36"/>
      <c r="M36" s="63"/>
      <c r="N36" s="195"/>
      <c r="O36" s="195"/>
      <c r="P36" s="36"/>
      <c r="Q36" s="35"/>
      <c r="R36" s="35"/>
      <c r="S36" s="36"/>
      <c r="T36" s="195"/>
      <c r="U36" s="195"/>
      <c r="V36" s="35"/>
      <c r="W36" s="195"/>
      <c r="X36" s="2"/>
      <c r="Y36" s="195"/>
      <c r="Z36" s="142"/>
      <c r="AA36" s="195"/>
      <c r="AB36" s="195"/>
      <c r="AC36" s="195"/>
      <c r="AD36" s="195"/>
      <c r="AE36" s="195"/>
      <c r="AF36" s="195"/>
    </row>
    <row r="37" spans="1:32">
      <c r="A37" s="5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36"/>
      <c r="M37" s="63"/>
      <c r="N37" s="195"/>
      <c r="O37" s="195"/>
      <c r="P37" s="36"/>
      <c r="Q37" s="35"/>
      <c r="R37" s="35"/>
      <c r="S37" s="36"/>
      <c r="T37" s="195"/>
      <c r="U37" s="195"/>
      <c r="V37" s="35"/>
      <c r="W37" s="195"/>
      <c r="X37" s="2"/>
      <c r="Z37" s="79"/>
    </row>
    <row r="38" spans="1:32">
      <c r="A38" s="5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36"/>
      <c r="M38" s="63"/>
      <c r="N38" s="195"/>
      <c r="O38" s="195"/>
      <c r="P38" s="36"/>
      <c r="Q38" s="35"/>
      <c r="R38" s="35"/>
      <c r="S38" s="36"/>
      <c r="T38" s="195"/>
      <c r="U38" s="195"/>
      <c r="V38" s="35"/>
      <c r="W38" s="195"/>
      <c r="X38" s="2"/>
    </row>
    <row r="39" spans="1:32">
      <c r="A39" s="68"/>
      <c r="B39" s="3"/>
      <c r="C39" s="3"/>
      <c r="D39" s="3"/>
      <c r="E39" s="3"/>
      <c r="F39" s="3"/>
      <c r="G39" s="3"/>
      <c r="H39" s="3"/>
      <c r="I39" s="3"/>
      <c r="J39" s="3"/>
      <c r="K39" s="3"/>
      <c r="L39" s="34"/>
      <c r="M39" s="69"/>
      <c r="N39" s="3"/>
      <c r="O39" s="3"/>
      <c r="P39" s="34"/>
      <c r="Q39" s="33"/>
      <c r="R39" s="33"/>
      <c r="S39" s="34"/>
      <c r="T39" s="3"/>
      <c r="U39" s="3"/>
      <c r="V39" s="35"/>
      <c r="W39" s="195"/>
      <c r="X39" s="2"/>
    </row>
    <row r="40" spans="1:32">
      <c r="A40" s="1150" t="s">
        <v>110</v>
      </c>
      <c r="B40" s="1151"/>
      <c r="C40" s="1151"/>
      <c r="D40" s="1151"/>
      <c r="E40" s="1151"/>
      <c r="F40" s="1151"/>
      <c r="G40" s="1151"/>
      <c r="H40" s="1151"/>
      <c r="I40" s="1151"/>
      <c r="J40" s="1151"/>
      <c r="K40" s="1151"/>
      <c r="L40" s="1151"/>
      <c r="M40" s="1151"/>
      <c r="N40" s="1151"/>
      <c r="O40" s="1151"/>
      <c r="P40" s="1151"/>
      <c r="Q40" s="1151"/>
      <c r="R40" s="1140"/>
      <c r="S40" s="1140"/>
      <c r="T40" s="1140"/>
      <c r="U40" s="1327"/>
      <c r="V40" s="1411">
        <f>V29+V33</f>
        <v>10200000</v>
      </c>
      <c r="W40" s="1685"/>
      <c r="X40" s="1686"/>
      <c r="AC40" s="79"/>
    </row>
    <row r="41" spans="1:32" ht="15.75" thickBot="1">
      <c r="A41" s="139" t="s">
        <v>105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368"/>
      <c r="S41" s="1368"/>
      <c r="T41" s="1368"/>
      <c r="U41" s="1368"/>
      <c r="V41" s="1368"/>
      <c r="W41" s="1368"/>
      <c r="X41" s="1369"/>
    </row>
    <row r="42" spans="1:32">
      <c r="A42" s="5" t="s">
        <v>106</v>
      </c>
      <c r="B42" s="195"/>
      <c r="C42" s="195"/>
      <c r="D42" s="195"/>
      <c r="E42" s="195" t="s">
        <v>6</v>
      </c>
      <c r="F42" s="195" t="s">
        <v>17</v>
      </c>
      <c r="G42" s="195"/>
      <c r="H42" s="195"/>
      <c r="I42" s="1128">
        <v>2550000</v>
      </c>
      <c r="J42" s="1128"/>
      <c r="K42" s="1128"/>
      <c r="L42" s="1128"/>
      <c r="M42" s="1128"/>
      <c r="N42" s="195"/>
      <c r="O42" s="195"/>
      <c r="P42" s="195"/>
      <c r="Q42" s="195"/>
      <c r="R42" s="1146" t="s">
        <v>584</v>
      </c>
      <c r="S42" s="1146"/>
      <c r="T42" s="1146"/>
      <c r="U42" s="1146"/>
      <c r="V42" s="1146"/>
      <c r="W42" s="1146"/>
      <c r="X42" s="1149"/>
      <c r="Z42" s="79"/>
    </row>
    <row r="43" spans="1:32">
      <c r="A43" s="5" t="s">
        <v>107</v>
      </c>
      <c r="B43" s="195"/>
      <c r="C43" s="195"/>
      <c r="D43" s="195"/>
      <c r="E43" s="195" t="s">
        <v>6</v>
      </c>
      <c r="F43" s="195" t="s">
        <v>17</v>
      </c>
      <c r="G43" s="195"/>
      <c r="H43" s="195"/>
      <c r="I43" s="1128">
        <v>2550000</v>
      </c>
      <c r="J43" s="1128"/>
      <c r="K43" s="1128"/>
      <c r="L43" s="1128"/>
      <c r="M43" s="1128"/>
      <c r="N43" s="195"/>
      <c r="O43" s="195"/>
      <c r="P43" s="195"/>
      <c r="Q43" s="195"/>
      <c r="R43" s="1146" t="s">
        <v>585</v>
      </c>
      <c r="S43" s="1146"/>
      <c r="T43" s="1146"/>
      <c r="U43" s="1146"/>
      <c r="V43" s="1146"/>
      <c r="W43" s="1146"/>
      <c r="X43" s="1149"/>
      <c r="Z43" s="79"/>
    </row>
    <row r="44" spans="1:32">
      <c r="A44" s="5" t="s">
        <v>108</v>
      </c>
      <c r="B44" s="195"/>
      <c r="C44" s="195"/>
      <c r="D44" s="195"/>
      <c r="E44" s="195" t="s">
        <v>6</v>
      </c>
      <c r="F44" s="195" t="s">
        <v>17</v>
      </c>
      <c r="G44" s="195"/>
      <c r="H44" s="195"/>
      <c r="I44" s="1128">
        <v>2550000</v>
      </c>
      <c r="J44" s="1128"/>
      <c r="K44" s="1128"/>
      <c r="L44" s="1128"/>
      <c r="M44" s="1128"/>
      <c r="N44" s="195"/>
      <c r="O44" s="195"/>
      <c r="P44" s="195"/>
      <c r="Q44" s="195"/>
      <c r="R44" s="195"/>
      <c r="S44" s="195"/>
      <c r="T44" s="816"/>
      <c r="U44" s="816"/>
      <c r="V44" s="816"/>
      <c r="W44" s="816"/>
      <c r="X44" s="2"/>
    </row>
    <row r="45" spans="1:32">
      <c r="A45" s="5" t="s">
        <v>109</v>
      </c>
      <c r="B45" s="195"/>
      <c r="C45" s="195"/>
      <c r="D45" s="195"/>
      <c r="E45" s="195" t="s">
        <v>6</v>
      </c>
      <c r="F45" s="3" t="s">
        <v>17</v>
      </c>
      <c r="G45" s="3"/>
      <c r="H45" s="3"/>
      <c r="I45" s="1666">
        <v>2550000</v>
      </c>
      <c r="J45" s="1666"/>
      <c r="K45" s="1666"/>
      <c r="L45" s="1666"/>
      <c r="M45" s="1666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2"/>
      <c r="Y45" s="79">
        <f>V40/4</f>
        <v>2550000</v>
      </c>
    </row>
    <row r="46" spans="1:32">
      <c r="A46" s="5" t="s">
        <v>15</v>
      </c>
      <c r="B46" s="195"/>
      <c r="C46" s="195"/>
      <c r="D46" s="195"/>
      <c r="E46" s="195" t="s">
        <v>6</v>
      </c>
      <c r="F46" s="195" t="s">
        <v>17</v>
      </c>
      <c r="G46" s="195"/>
      <c r="H46" s="195"/>
      <c r="I46" s="1128">
        <f>SUM(I42:L45)</f>
        <v>10200000</v>
      </c>
      <c r="J46" s="1128"/>
      <c r="K46" s="1128"/>
      <c r="L46" s="1128"/>
      <c r="M46" s="1128"/>
      <c r="N46" s="195"/>
      <c r="O46" s="195"/>
      <c r="P46" s="195"/>
      <c r="Q46" s="195"/>
      <c r="R46" s="1357" t="s">
        <v>849</v>
      </c>
      <c r="S46" s="1357"/>
      <c r="T46" s="1357"/>
      <c r="U46" s="1357"/>
      <c r="V46" s="1357"/>
      <c r="W46" s="1357"/>
      <c r="X46" s="1358"/>
    </row>
    <row r="47" spans="1:32">
      <c r="A47" s="5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359" t="s">
        <v>914</v>
      </c>
      <c r="S47" s="1146"/>
      <c r="T47" s="1146"/>
      <c r="U47" s="1146"/>
      <c r="V47" s="1146"/>
      <c r="W47" s="1146"/>
      <c r="X47" s="1149"/>
      <c r="Y47" s="580">
        <f>10200000/4</f>
        <v>2550000</v>
      </c>
    </row>
    <row r="48" spans="1:32">
      <c r="A48" s="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3"/>
      <c r="R48" s="1428"/>
      <c r="S48" s="1143"/>
      <c r="T48" s="1143"/>
      <c r="U48" s="1143"/>
      <c r="V48" s="1143"/>
      <c r="W48" s="1143"/>
      <c r="X48" s="1144"/>
    </row>
    <row r="49" spans="1:24">
      <c r="A49" s="1418" t="s">
        <v>1018</v>
      </c>
      <c r="B49" s="1400"/>
      <c r="C49" s="1400"/>
      <c r="D49" s="1400"/>
      <c r="E49" s="1400"/>
      <c r="F49" s="1400"/>
      <c r="G49" s="1400"/>
      <c r="H49" s="1400"/>
      <c r="I49" s="1400"/>
      <c r="J49" s="1400"/>
      <c r="K49" s="1400"/>
      <c r="L49" s="1400"/>
      <c r="M49" s="1400"/>
      <c r="N49" s="1400"/>
      <c r="O49" s="1400"/>
      <c r="P49" s="1400"/>
      <c r="Q49" s="3"/>
      <c r="R49" s="1456" t="s">
        <v>921</v>
      </c>
      <c r="S49" s="1146"/>
      <c r="T49" s="1146"/>
      <c r="U49" s="1146"/>
      <c r="V49" s="1146"/>
      <c r="W49" s="1146"/>
      <c r="X49" s="1149"/>
    </row>
    <row r="50" spans="1:24">
      <c r="A50" s="548"/>
      <c r="B50" s="549"/>
      <c r="C50" s="549"/>
      <c r="D50" s="549"/>
      <c r="E50" s="549"/>
      <c r="F50" s="549"/>
      <c r="G50" s="549"/>
      <c r="H50" s="549"/>
      <c r="I50" s="549"/>
      <c r="J50" s="549"/>
      <c r="K50" s="549"/>
      <c r="L50" s="549"/>
      <c r="M50" s="549"/>
      <c r="N50" s="549"/>
      <c r="O50" s="549"/>
      <c r="P50" s="549"/>
      <c r="Q50" s="195"/>
      <c r="R50" s="551"/>
      <c r="S50" s="553"/>
      <c r="T50" s="553"/>
      <c r="U50" s="553"/>
      <c r="V50" s="553"/>
      <c r="W50" s="553"/>
      <c r="X50" s="552"/>
    </row>
    <row r="51" spans="1:24">
      <c r="A51" s="5">
        <v>1</v>
      </c>
      <c r="B51" s="195" t="s">
        <v>460</v>
      </c>
      <c r="C51" s="195"/>
      <c r="D51" s="195"/>
      <c r="E51" s="195"/>
      <c r="F51" s="195"/>
      <c r="G51" s="195"/>
      <c r="H51" s="195"/>
      <c r="I51" s="195"/>
      <c r="J51" s="195"/>
      <c r="K51" s="195" t="s">
        <v>193</v>
      </c>
      <c r="L51" s="195"/>
      <c r="M51" s="195"/>
      <c r="N51" s="195"/>
      <c r="O51" s="195"/>
      <c r="P51" s="195"/>
      <c r="Q51" s="195"/>
      <c r="R51" s="1147" t="s">
        <v>155</v>
      </c>
      <c r="S51" s="1146"/>
      <c r="T51" s="1146"/>
      <c r="U51" s="1146"/>
      <c r="V51" s="1146"/>
      <c r="W51" s="1146"/>
      <c r="X51" s="1149"/>
    </row>
    <row r="52" spans="1:24">
      <c r="A52" s="5"/>
      <c r="B52" t="s">
        <v>1019</v>
      </c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147" t="s">
        <v>114</v>
      </c>
      <c r="S52" s="1146"/>
      <c r="T52" s="1146"/>
      <c r="U52" s="1146"/>
      <c r="V52" s="1146"/>
      <c r="W52" s="1146"/>
      <c r="X52" s="1149"/>
    </row>
    <row r="53" spans="1:24">
      <c r="A53" s="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35"/>
      <c r="S53" s="195"/>
      <c r="T53" s="195"/>
      <c r="U53" s="195"/>
      <c r="V53" s="195"/>
      <c r="W53" s="195"/>
      <c r="X53" s="2"/>
    </row>
    <row r="54" spans="1:24">
      <c r="A54" s="5">
        <v>2</v>
      </c>
      <c r="B54" s="195" t="s">
        <v>194</v>
      </c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 t="s">
        <v>195</v>
      </c>
      <c r="O54" s="195"/>
      <c r="P54" s="195"/>
      <c r="Q54" s="195"/>
      <c r="R54" s="35"/>
      <c r="S54" s="195"/>
      <c r="T54" s="195"/>
      <c r="U54" s="195"/>
      <c r="V54" s="195"/>
      <c r="W54" s="195"/>
      <c r="X54" s="2"/>
    </row>
    <row r="55" spans="1:24">
      <c r="A55" s="5"/>
      <c r="B55" s="45" t="s">
        <v>1019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35"/>
      <c r="S55" s="195"/>
      <c r="T55" s="195"/>
      <c r="U55" s="195"/>
      <c r="V55" s="195"/>
      <c r="W55" s="195"/>
      <c r="X55" s="2"/>
    </row>
    <row r="56" spans="1:24">
      <c r="A56" s="5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427" t="s">
        <v>115</v>
      </c>
      <c r="S56" s="1357"/>
      <c r="T56" s="1357"/>
      <c r="U56" s="1357"/>
      <c r="V56" s="1357"/>
      <c r="W56" s="1357"/>
      <c r="X56" s="1358"/>
    </row>
    <row r="57" spans="1:24">
      <c r="A57" s="5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147" t="s">
        <v>116</v>
      </c>
      <c r="S57" s="1146"/>
      <c r="T57" s="1146"/>
      <c r="U57" s="1146"/>
      <c r="V57" s="1146"/>
      <c r="W57" s="1146"/>
      <c r="X57" s="1149"/>
    </row>
    <row r="58" spans="1:24" ht="15.75" thickBot="1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50"/>
      <c r="S58" s="49"/>
      <c r="T58" s="49"/>
      <c r="U58" s="49"/>
      <c r="V58" s="49"/>
      <c r="W58" s="49"/>
      <c r="X58" s="86"/>
    </row>
  </sheetData>
  <mergeCells count="102">
    <mergeCell ref="M31:P31"/>
    <mergeCell ref="M35:P35"/>
    <mergeCell ref="R34:S34"/>
    <mergeCell ref="R35:S35"/>
    <mergeCell ref="R51:X51"/>
    <mergeCell ref="R52:X52"/>
    <mergeCell ref="R56:X56"/>
    <mergeCell ref="R57:X57"/>
    <mergeCell ref="R48:X48"/>
    <mergeCell ref="A49:P49"/>
    <mergeCell ref="R49:X49"/>
    <mergeCell ref="I45:M45"/>
    <mergeCell ref="I46:M46"/>
    <mergeCell ref="R46:X46"/>
    <mergeCell ref="R47:X47"/>
    <mergeCell ref="R41:X41"/>
    <mergeCell ref="I42:M42"/>
    <mergeCell ref="R42:X42"/>
    <mergeCell ref="I43:M43"/>
    <mergeCell ref="I44:M44"/>
    <mergeCell ref="R43:X43"/>
    <mergeCell ref="Z34:AA34"/>
    <mergeCell ref="AB34:AC34"/>
    <mergeCell ref="AD34:AF34"/>
    <mergeCell ref="V35:X35"/>
    <mergeCell ref="A40:U40"/>
    <mergeCell ref="V40:X40"/>
    <mergeCell ref="V34:X34"/>
    <mergeCell ref="R33:S33"/>
    <mergeCell ref="T33:U33"/>
    <mergeCell ref="V33:X33"/>
    <mergeCell ref="Z33:AA33"/>
    <mergeCell ref="AB33:AC33"/>
    <mergeCell ref="AD33:AF33"/>
    <mergeCell ref="A33:L33"/>
    <mergeCell ref="M33:P33"/>
    <mergeCell ref="T34:U34"/>
    <mergeCell ref="T35:U35"/>
    <mergeCell ref="Z32:AA32"/>
    <mergeCell ref="AB32:AC32"/>
    <mergeCell ref="AD32:AF32"/>
    <mergeCell ref="V30:X30"/>
    <mergeCell ref="AD30:AF30"/>
    <mergeCell ref="R31:S31"/>
    <mergeCell ref="T31:U31"/>
    <mergeCell ref="V31:X31"/>
    <mergeCell ref="Z31:AA31"/>
    <mergeCell ref="AB31:AC31"/>
    <mergeCell ref="AD31:AF31"/>
    <mergeCell ref="R30:S30"/>
    <mergeCell ref="T30:U30"/>
    <mergeCell ref="R32:S32"/>
    <mergeCell ref="T32:U32"/>
    <mergeCell ref="V32:X32"/>
    <mergeCell ref="AD28:AF28"/>
    <mergeCell ref="A29:L29"/>
    <mergeCell ref="V29:X29"/>
    <mergeCell ref="AD29:AF29"/>
    <mergeCell ref="A26:L26"/>
    <mergeCell ref="V26:X26"/>
    <mergeCell ref="AD26:AF26"/>
    <mergeCell ref="A27:L27"/>
    <mergeCell ref="V27:X27"/>
    <mergeCell ref="AD27:AF27"/>
    <mergeCell ref="M28:P28"/>
    <mergeCell ref="A28:L28"/>
    <mergeCell ref="V28:X28"/>
    <mergeCell ref="A24:L24"/>
    <mergeCell ref="M24:P24"/>
    <mergeCell ref="R24:S24"/>
    <mergeCell ref="T24:U24"/>
    <mergeCell ref="V24:X24"/>
    <mergeCell ref="A25:L25"/>
    <mergeCell ref="M25:P25"/>
    <mergeCell ref="V25:X25"/>
    <mergeCell ref="A22:L22"/>
    <mergeCell ref="M22:P22"/>
    <mergeCell ref="Q22:U22"/>
    <mergeCell ref="V22:X22"/>
    <mergeCell ref="Y22:AA22"/>
    <mergeCell ref="A23:L23"/>
    <mergeCell ref="R23:S23"/>
    <mergeCell ref="T23:U23"/>
    <mergeCell ref="V23:X23"/>
    <mergeCell ref="U15:X15"/>
    <mergeCell ref="V16:X16"/>
    <mergeCell ref="U17:X17"/>
    <mergeCell ref="U18:X18"/>
    <mergeCell ref="A20:X20"/>
    <mergeCell ref="A21:X21"/>
    <mergeCell ref="A13:X13"/>
    <mergeCell ref="A14:F14"/>
    <mergeCell ref="I14:T14"/>
    <mergeCell ref="U14:X14"/>
    <mergeCell ref="A1:N1"/>
    <mergeCell ref="W1:X1"/>
    <mergeCell ref="A2:N2"/>
    <mergeCell ref="W2:X2"/>
    <mergeCell ref="W3:X3"/>
    <mergeCell ref="W4:X4"/>
    <mergeCell ref="A4:V4"/>
    <mergeCell ref="A5:V5"/>
  </mergeCells>
  <pageMargins left="0.7" right="0.7" top="0.75" bottom="0.75" header="0.3" footer="0.3"/>
  <pageSetup paperSize="5" scale="80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B118"/>
  <sheetViews>
    <sheetView view="pageLayout" topLeftCell="A97" workbookViewId="0">
      <selection activeCell="V27" sqref="V27:X27"/>
    </sheetView>
  </sheetViews>
  <sheetFormatPr defaultRowHeight="15"/>
  <cols>
    <col min="1" max="1" width="2.28515625" customWidth="1"/>
    <col min="2" max="2" width="2" customWidth="1"/>
    <col min="3" max="3" width="2.140625" customWidth="1"/>
    <col min="4" max="4" width="4.140625" customWidth="1"/>
    <col min="5" max="5" width="1.7109375" customWidth="1"/>
    <col min="6" max="6" width="2.5703125" customWidth="1"/>
    <col min="7" max="7" width="2.28515625" customWidth="1"/>
    <col min="8" max="8" width="3" customWidth="1"/>
    <col min="9" max="12" width="2.28515625" customWidth="1"/>
    <col min="13" max="13" width="8" customWidth="1"/>
    <col min="15" max="15" width="14.28515625" bestFit="1" customWidth="1"/>
    <col min="16" max="17" width="5.85546875" customWidth="1"/>
    <col min="18" max="18" width="3.7109375" customWidth="1"/>
    <col min="19" max="19" width="3.5703125" customWidth="1"/>
    <col min="20" max="20" width="5.5703125" customWidth="1"/>
    <col min="21" max="21" width="5" customWidth="1"/>
    <col min="22" max="22" width="5.140625" customWidth="1"/>
    <col min="23" max="23" width="2.85546875" customWidth="1"/>
    <col min="24" max="24" width="13.140625" customWidth="1"/>
    <col min="26" max="26" width="14.28515625" customWidth="1"/>
  </cols>
  <sheetData>
    <row r="1" spans="1:24" ht="15" customHeight="1">
      <c r="A1" s="1386" t="s">
        <v>0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8"/>
      <c r="P1" s="1702" t="s">
        <v>559</v>
      </c>
      <c r="Q1" s="1703" t="s">
        <v>559</v>
      </c>
      <c r="R1" s="1704" t="s">
        <v>157</v>
      </c>
      <c r="S1" s="1704" t="s">
        <v>157</v>
      </c>
      <c r="T1" s="1704" t="s">
        <v>321</v>
      </c>
      <c r="U1" s="1703" t="s">
        <v>158</v>
      </c>
      <c r="V1" s="1705" t="s">
        <v>159</v>
      </c>
      <c r="W1" s="1161"/>
      <c r="X1" s="1453"/>
    </row>
    <row r="2" spans="1:24" ht="15" customHeight="1">
      <c r="A2" s="1389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1"/>
      <c r="P2" s="1694"/>
      <c r="Q2" s="1696"/>
      <c r="R2" s="1696"/>
      <c r="S2" s="1698"/>
      <c r="T2" s="1698"/>
      <c r="U2" s="1696"/>
      <c r="V2" s="1700"/>
      <c r="W2" s="1164" t="s">
        <v>1</v>
      </c>
      <c r="X2" s="1393"/>
    </row>
    <row r="3" spans="1:24" ht="15" customHeight="1">
      <c r="A3" s="1379" t="s">
        <v>2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1"/>
      <c r="P3" s="1694"/>
      <c r="Q3" s="1696"/>
      <c r="R3" s="1698"/>
      <c r="S3" s="1698"/>
      <c r="T3" s="1698"/>
      <c r="U3" s="1696"/>
      <c r="V3" s="1700"/>
      <c r="W3" s="1164"/>
      <c r="X3" s="1393"/>
    </row>
    <row r="4" spans="1:24" ht="13.5" customHeight="1">
      <c r="A4" s="1382"/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4"/>
      <c r="P4" s="1695"/>
      <c r="Q4" s="1697"/>
      <c r="R4" s="1697"/>
      <c r="S4" s="1699"/>
      <c r="T4" s="1699"/>
      <c r="U4" s="1697"/>
      <c r="V4" s="1701"/>
      <c r="W4" s="1164" t="s">
        <v>1040</v>
      </c>
      <c r="X4" s="1393"/>
    </row>
    <row r="5" spans="1:24">
      <c r="A5" s="1515" t="s">
        <v>717</v>
      </c>
      <c r="B5" s="1516"/>
      <c r="C5" s="1516"/>
      <c r="D5" s="1516"/>
      <c r="E5" s="1516"/>
      <c r="F5" s="1516"/>
      <c r="G5" s="1516"/>
      <c r="H5" s="1516"/>
      <c r="I5" s="1516"/>
      <c r="J5" s="1516"/>
      <c r="K5" s="1516"/>
      <c r="L5" s="1516"/>
      <c r="M5" s="1516"/>
      <c r="N5" s="1516"/>
      <c r="O5" s="1516"/>
      <c r="P5" s="1516"/>
      <c r="Q5" s="1516"/>
      <c r="R5" s="1516"/>
      <c r="S5" s="1516"/>
      <c r="T5" s="1516"/>
      <c r="U5" s="1516"/>
      <c r="V5" s="1517"/>
      <c r="W5" s="1164"/>
      <c r="X5" s="1393"/>
    </row>
    <row r="6" spans="1:24">
      <c r="A6" s="1518" t="s">
        <v>922</v>
      </c>
      <c r="B6" s="1519"/>
      <c r="C6" s="1519"/>
      <c r="D6" s="1519"/>
      <c r="E6" s="1519"/>
      <c r="F6" s="1519"/>
      <c r="G6" s="1519"/>
      <c r="H6" s="1519"/>
      <c r="I6" s="1519"/>
      <c r="J6" s="1519"/>
      <c r="K6" s="1519"/>
      <c r="L6" s="1519"/>
      <c r="M6" s="1519"/>
      <c r="N6" s="1519"/>
      <c r="O6" s="1519"/>
      <c r="P6" s="1519"/>
      <c r="Q6" s="1519"/>
      <c r="R6" s="1519"/>
      <c r="S6" s="1519"/>
      <c r="T6" s="1519"/>
      <c r="U6" s="1519"/>
      <c r="V6" s="1520"/>
      <c r="W6" s="850"/>
      <c r="X6" s="851"/>
    </row>
    <row r="7" spans="1:24">
      <c r="A7" s="233" t="s">
        <v>5</v>
      </c>
      <c r="B7" s="197"/>
      <c r="C7" s="197"/>
      <c r="D7" s="197"/>
      <c r="E7" s="197"/>
      <c r="F7" s="197"/>
      <c r="G7" s="197"/>
      <c r="H7" s="197"/>
      <c r="I7" s="197"/>
      <c r="J7" s="197"/>
      <c r="K7" s="197" t="s">
        <v>6</v>
      </c>
      <c r="L7" s="197" t="s">
        <v>559</v>
      </c>
      <c r="M7" s="197"/>
      <c r="N7" s="197"/>
      <c r="O7" s="197"/>
      <c r="P7" s="642" t="s">
        <v>8</v>
      </c>
      <c r="Q7" s="642"/>
      <c r="R7" s="642"/>
      <c r="S7" s="642"/>
      <c r="T7" s="642"/>
      <c r="U7" s="642"/>
      <c r="V7" s="642"/>
      <c r="W7" s="197"/>
      <c r="X7" s="234"/>
    </row>
    <row r="8" spans="1:24">
      <c r="A8" s="233" t="s">
        <v>9</v>
      </c>
      <c r="B8" s="197"/>
      <c r="C8" s="197"/>
      <c r="D8" s="197"/>
      <c r="E8" s="197"/>
      <c r="F8" s="197"/>
      <c r="G8" s="197"/>
      <c r="H8" s="197"/>
      <c r="I8" s="197"/>
      <c r="J8" s="197"/>
      <c r="K8" s="197" t="s">
        <v>6</v>
      </c>
      <c r="L8" s="199" t="s">
        <v>529</v>
      </c>
      <c r="M8" s="199"/>
      <c r="N8" s="197"/>
      <c r="O8" s="197"/>
      <c r="P8" s="199" t="s">
        <v>11</v>
      </c>
      <c r="Q8" s="199"/>
      <c r="R8" s="199"/>
      <c r="S8" s="199"/>
      <c r="T8" s="199"/>
      <c r="U8" s="199"/>
      <c r="V8" s="199"/>
      <c r="W8" s="197"/>
      <c r="X8" s="234"/>
    </row>
    <row r="9" spans="1:24">
      <c r="A9" s="233" t="s">
        <v>162</v>
      </c>
      <c r="B9" s="197"/>
      <c r="C9" s="197"/>
      <c r="D9" s="197"/>
      <c r="E9" s="197"/>
      <c r="F9" s="197"/>
      <c r="G9" s="197"/>
      <c r="H9" s="197"/>
      <c r="I9" s="197"/>
      <c r="J9" s="197"/>
      <c r="K9" s="197" t="s">
        <v>6</v>
      </c>
      <c r="L9" s="197" t="s">
        <v>530</v>
      </c>
      <c r="M9" s="197"/>
      <c r="N9" s="197"/>
      <c r="O9" s="197"/>
      <c r="P9" s="199" t="s">
        <v>163</v>
      </c>
      <c r="Q9" s="199"/>
      <c r="R9" s="199"/>
      <c r="S9" s="199"/>
      <c r="T9" s="199"/>
      <c r="U9" s="199"/>
      <c r="V9" s="199"/>
      <c r="W9" s="197"/>
      <c r="X9" s="234"/>
    </row>
    <row r="10" spans="1:24">
      <c r="A10" s="233" t="s">
        <v>58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 t="s">
        <v>6</v>
      </c>
      <c r="L10" s="197" t="s">
        <v>594</v>
      </c>
      <c r="M10" s="197"/>
      <c r="N10" s="197"/>
      <c r="O10" s="197"/>
      <c r="P10" s="66" t="s">
        <v>322</v>
      </c>
      <c r="Q10" s="197"/>
      <c r="R10" s="197"/>
      <c r="S10" s="197"/>
      <c r="T10" s="197"/>
      <c r="U10" s="197"/>
      <c r="V10" s="197"/>
      <c r="W10" s="197"/>
      <c r="X10" s="234"/>
    </row>
    <row r="11" spans="1:24">
      <c r="A11" s="233" t="s">
        <v>165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 t="s">
        <v>6</v>
      </c>
      <c r="L11" s="197" t="s">
        <v>923</v>
      </c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234"/>
    </row>
    <row r="12" spans="1:24">
      <c r="A12" s="233" t="s">
        <v>1021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 t="s">
        <v>6</v>
      </c>
      <c r="L12" s="197" t="s">
        <v>919</v>
      </c>
      <c r="M12" s="197"/>
      <c r="N12" s="197"/>
      <c r="O12" s="603"/>
      <c r="P12" s="197"/>
      <c r="Q12" s="200"/>
      <c r="R12" s="197"/>
      <c r="S12" s="197"/>
      <c r="T12" s="197"/>
      <c r="U12" s="197"/>
      <c r="V12" s="197"/>
      <c r="W12" s="197"/>
      <c r="X12" s="234"/>
    </row>
    <row r="13" spans="1:24">
      <c r="A13" s="233" t="s">
        <v>167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 t="s">
        <v>6</v>
      </c>
      <c r="L13" s="197" t="s">
        <v>68</v>
      </c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234"/>
    </row>
    <row r="14" spans="1:24">
      <c r="A14" s="1418" t="s">
        <v>260</v>
      </c>
      <c r="B14" s="1400"/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0"/>
      <c r="U14" s="1400"/>
      <c r="V14" s="1400"/>
      <c r="W14" s="1400"/>
      <c r="X14" s="1405"/>
    </row>
    <row r="15" spans="1:24">
      <c r="A15" s="1418" t="s">
        <v>169</v>
      </c>
      <c r="B15" s="1400"/>
      <c r="C15" s="1400"/>
      <c r="D15" s="1400"/>
      <c r="E15" s="1400"/>
      <c r="F15" s="1400"/>
      <c r="G15" s="556"/>
      <c r="H15" s="556"/>
      <c r="I15" s="1399" t="s">
        <v>170</v>
      </c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3"/>
      <c r="U15" s="1399" t="s">
        <v>171</v>
      </c>
      <c r="V15" s="1400"/>
      <c r="W15" s="1400"/>
      <c r="X15" s="1405"/>
    </row>
    <row r="16" spans="1:24">
      <c r="A16" s="235" t="s">
        <v>172</v>
      </c>
      <c r="B16" s="202"/>
      <c r="C16" s="202"/>
      <c r="D16" s="202"/>
      <c r="E16" s="202"/>
      <c r="F16" s="202"/>
      <c r="G16" s="202"/>
      <c r="H16" s="202"/>
      <c r="I16" s="99" t="s">
        <v>323</v>
      </c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203"/>
      <c r="U16" s="1578">
        <v>1</v>
      </c>
      <c r="V16" s="1579"/>
      <c r="W16" s="1579"/>
      <c r="X16" s="1580"/>
    </row>
    <row r="17" spans="1:24">
      <c r="A17" s="233" t="s">
        <v>174</v>
      </c>
      <c r="B17" s="197"/>
      <c r="C17" s="197"/>
      <c r="D17" s="197"/>
      <c r="E17" s="197"/>
      <c r="F17" s="197"/>
      <c r="G17" s="197"/>
      <c r="H17" s="197"/>
      <c r="I17" s="93" t="s">
        <v>175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198"/>
      <c r="U17" s="102" t="s">
        <v>154</v>
      </c>
      <c r="V17" s="1530">
        <f>V28</f>
        <v>130000000</v>
      </c>
      <c r="W17" s="1530"/>
      <c r="X17" s="1531"/>
    </row>
    <row r="18" spans="1:24">
      <c r="A18" s="233" t="s">
        <v>176</v>
      </c>
      <c r="B18" s="197"/>
      <c r="C18" s="197"/>
      <c r="D18" s="197"/>
      <c r="E18" s="197"/>
      <c r="F18" s="197"/>
      <c r="G18" s="197"/>
      <c r="H18" s="197"/>
      <c r="I18" s="93" t="s">
        <v>324</v>
      </c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198"/>
      <c r="U18" s="1456" t="s">
        <v>178</v>
      </c>
      <c r="V18" s="1359"/>
      <c r="W18" s="1359"/>
      <c r="X18" s="1360"/>
    </row>
    <row r="19" spans="1:24">
      <c r="A19" s="236" t="s">
        <v>179</v>
      </c>
      <c r="B19" s="206"/>
      <c r="C19" s="206"/>
      <c r="D19" s="206"/>
      <c r="E19" s="206"/>
      <c r="F19" s="206"/>
      <c r="G19" s="206"/>
      <c r="H19" s="206"/>
      <c r="I19" s="105" t="s">
        <v>325</v>
      </c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207"/>
      <c r="U19" s="1455" t="s">
        <v>181</v>
      </c>
      <c r="V19" s="1428"/>
      <c r="W19" s="1428"/>
      <c r="X19" s="1582"/>
    </row>
    <row r="20" spans="1:24">
      <c r="A20" s="233" t="s">
        <v>182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 t="s">
        <v>6</v>
      </c>
      <c r="M20" s="197" t="s">
        <v>920</v>
      </c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234"/>
    </row>
    <row r="21" spans="1:24">
      <c r="A21" s="1321" t="s">
        <v>718</v>
      </c>
      <c r="B21" s="1322"/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3"/>
    </row>
    <row r="22" spans="1:24">
      <c r="A22" s="1164" t="s">
        <v>719</v>
      </c>
      <c r="B22" s="1165"/>
      <c r="C22" s="1165"/>
      <c r="D22" s="1165"/>
      <c r="E22" s="1165"/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  <c r="R22" s="1165"/>
      <c r="S22" s="1165"/>
      <c r="T22" s="1165"/>
      <c r="U22" s="1165"/>
      <c r="V22" s="1165"/>
      <c r="W22" s="1165"/>
      <c r="X22" s="1393"/>
    </row>
    <row r="23" spans="1:24">
      <c r="A23" s="1321" t="s">
        <v>13</v>
      </c>
      <c r="B23" s="1322"/>
      <c r="C23" s="1322"/>
      <c r="D23" s="1322"/>
      <c r="E23" s="1322"/>
      <c r="F23" s="1322"/>
      <c r="G23" s="1322"/>
      <c r="H23" s="1322"/>
      <c r="I23" s="1322"/>
      <c r="J23" s="1322"/>
      <c r="K23" s="1322"/>
      <c r="L23" s="1394"/>
      <c r="M23" s="1395" t="s">
        <v>14</v>
      </c>
      <c r="N23" s="1396"/>
      <c r="O23" s="1396"/>
      <c r="P23" s="1397"/>
      <c r="Q23" s="1401" t="s">
        <v>121</v>
      </c>
      <c r="R23" s="1322"/>
      <c r="S23" s="1322"/>
      <c r="T23" s="1322"/>
      <c r="U23" s="1322"/>
      <c r="V23" s="1401" t="s">
        <v>15</v>
      </c>
      <c r="W23" s="1322"/>
      <c r="X23" s="1323"/>
    </row>
    <row r="24" spans="1:24">
      <c r="A24" s="1164" t="s">
        <v>16</v>
      </c>
      <c r="B24" s="1165"/>
      <c r="C24" s="1165"/>
      <c r="D24" s="1165"/>
      <c r="E24" s="1165"/>
      <c r="F24" s="1165"/>
      <c r="G24" s="1165"/>
      <c r="H24" s="1165"/>
      <c r="I24" s="1165"/>
      <c r="J24" s="1165"/>
      <c r="K24" s="1165"/>
      <c r="L24" s="1166"/>
      <c r="M24" s="1398"/>
      <c r="N24" s="1173"/>
      <c r="O24" s="1173"/>
      <c r="P24" s="1174"/>
      <c r="Q24" s="82" t="s">
        <v>122</v>
      </c>
      <c r="R24" s="1399" t="s">
        <v>123</v>
      </c>
      <c r="S24" s="1403"/>
      <c r="T24" s="1399" t="s">
        <v>124</v>
      </c>
      <c r="U24" s="1403"/>
      <c r="V24" s="1436" t="s">
        <v>17</v>
      </c>
      <c r="W24" s="1165"/>
      <c r="X24" s="1393"/>
    </row>
    <row r="25" spans="1:24">
      <c r="A25" s="1418">
        <v>1</v>
      </c>
      <c r="B25" s="1400"/>
      <c r="C25" s="1400"/>
      <c r="D25" s="1400"/>
      <c r="E25" s="1400"/>
      <c r="F25" s="1400"/>
      <c r="G25" s="1400"/>
      <c r="H25" s="1400"/>
      <c r="I25" s="1400"/>
      <c r="J25" s="1400"/>
      <c r="K25" s="1400"/>
      <c r="L25" s="1403"/>
      <c r="M25" s="1399">
        <v>2</v>
      </c>
      <c r="N25" s="1400"/>
      <c r="O25" s="1400"/>
      <c r="P25" s="1403"/>
      <c r="Q25" s="90">
        <v>3</v>
      </c>
      <c r="R25" s="1399">
        <v>4</v>
      </c>
      <c r="S25" s="1403"/>
      <c r="T25" s="1399">
        <v>5</v>
      </c>
      <c r="U25" s="1403"/>
      <c r="V25" s="1399" t="s">
        <v>1041</v>
      </c>
      <c r="W25" s="1400"/>
      <c r="X25" s="1405"/>
    </row>
    <row r="26" spans="1:24">
      <c r="A26" s="1548" t="s">
        <v>740</v>
      </c>
      <c r="B26" s="1549"/>
      <c r="C26" s="1549"/>
      <c r="D26" s="1549"/>
      <c r="E26" s="1549"/>
      <c r="F26" s="1549"/>
      <c r="G26" s="1549"/>
      <c r="H26" s="1549"/>
      <c r="I26" s="1549"/>
      <c r="J26" s="1549"/>
      <c r="K26" s="1549"/>
      <c r="L26" s="1550"/>
      <c r="M26" s="1647" t="s">
        <v>551</v>
      </c>
      <c r="N26" s="1647"/>
      <c r="O26" s="1647"/>
      <c r="P26" s="1647"/>
      <c r="Q26" s="561"/>
      <c r="R26" s="561"/>
      <c r="S26" s="550"/>
      <c r="T26" s="549"/>
      <c r="U26" s="549"/>
      <c r="V26" s="1581">
        <f>V27</f>
        <v>130000000</v>
      </c>
      <c r="W26" s="1322"/>
      <c r="X26" s="1323"/>
    </row>
    <row r="27" spans="1:24">
      <c r="A27" s="1467" t="s">
        <v>739</v>
      </c>
      <c r="B27" s="1355"/>
      <c r="C27" s="1355"/>
      <c r="D27" s="1355"/>
      <c r="E27" s="1355"/>
      <c r="F27" s="1355"/>
      <c r="G27" s="1355"/>
      <c r="H27" s="1355"/>
      <c r="I27" s="1355"/>
      <c r="J27" s="1355"/>
      <c r="K27" s="1355"/>
      <c r="L27" s="1356"/>
      <c r="M27" s="83" t="s">
        <v>23</v>
      </c>
      <c r="N27" s="84"/>
      <c r="O27" s="84"/>
      <c r="P27" s="85"/>
      <c r="Q27" s="83"/>
      <c r="R27" s="83"/>
      <c r="S27" s="85"/>
      <c r="T27" s="91"/>
      <c r="U27" s="91"/>
      <c r="V27" s="1468">
        <f>V28</f>
        <v>130000000</v>
      </c>
      <c r="W27" s="1424"/>
      <c r="X27" s="1425"/>
    </row>
    <row r="28" spans="1:24">
      <c r="A28" s="1354" t="s">
        <v>595</v>
      </c>
      <c r="B28" s="1355"/>
      <c r="C28" s="1355"/>
      <c r="D28" s="1355"/>
      <c r="E28" s="1355"/>
      <c r="F28" s="1355"/>
      <c r="G28" s="1355"/>
      <c r="H28" s="1355"/>
      <c r="I28" s="1355"/>
      <c r="J28" s="1355"/>
      <c r="K28" s="1355"/>
      <c r="L28" s="1356"/>
      <c r="M28" s="83" t="s">
        <v>216</v>
      </c>
      <c r="N28" s="84"/>
      <c r="O28" s="84"/>
      <c r="P28" s="85"/>
      <c r="Q28" s="83"/>
      <c r="R28" s="83"/>
      <c r="S28" s="85"/>
      <c r="T28" s="91"/>
      <c r="U28" s="91"/>
      <c r="V28" s="1468">
        <f>V29</f>
        <v>130000000</v>
      </c>
      <c r="W28" s="1424"/>
      <c r="X28" s="1425"/>
    </row>
    <row r="29" spans="1:24">
      <c r="A29" s="1354" t="s">
        <v>596</v>
      </c>
      <c r="B29" s="1355"/>
      <c r="C29" s="1355"/>
      <c r="D29" s="1355"/>
      <c r="E29" s="1355"/>
      <c r="F29" s="1355"/>
      <c r="G29" s="1355"/>
      <c r="H29" s="1355"/>
      <c r="I29" s="1355"/>
      <c r="J29" s="1355"/>
      <c r="K29" s="1355"/>
      <c r="L29" s="1356"/>
      <c r="M29" s="83" t="s">
        <v>326</v>
      </c>
      <c r="N29" s="84"/>
      <c r="O29" s="84"/>
      <c r="P29" s="85"/>
      <c r="Q29" s="83"/>
      <c r="R29" s="83"/>
      <c r="S29" s="85"/>
      <c r="T29" s="91"/>
      <c r="U29" s="91"/>
      <c r="V29" s="1468">
        <f>V30</f>
        <v>130000000</v>
      </c>
      <c r="W29" s="1424"/>
      <c r="X29" s="1425"/>
    </row>
    <row r="30" spans="1:24">
      <c r="A30" s="1354" t="s">
        <v>597</v>
      </c>
      <c r="B30" s="1355"/>
      <c r="C30" s="1355"/>
      <c r="D30" s="1355"/>
      <c r="E30" s="1355"/>
      <c r="F30" s="1355"/>
      <c r="G30" s="1355"/>
      <c r="H30" s="1355"/>
      <c r="I30" s="1355"/>
      <c r="J30" s="1355"/>
      <c r="K30" s="1355"/>
      <c r="L30" s="1356"/>
      <c r="M30" s="196" t="s">
        <v>327</v>
      </c>
      <c r="N30" s="197"/>
      <c r="O30" s="197"/>
      <c r="P30" s="198"/>
      <c r="Q30" s="196"/>
      <c r="R30" s="196"/>
      <c r="S30" s="198"/>
      <c r="T30" s="643"/>
      <c r="U30" s="643"/>
      <c r="V30" s="1461">
        <f>V32+V81+V43</f>
        <v>130000000</v>
      </c>
      <c r="W30" s="1457"/>
      <c r="X30" s="1462"/>
    </row>
    <row r="31" spans="1:24">
      <c r="A31" s="559"/>
      <c r="B31" s="560"/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196" t="s">
        <v>470</v>
      </c>
      <c r="N31" s="197"/>
      <c r="O31" s="197"/>
      <c r="P31" s="198"/>
      <c r="Q31" s="196"/>
      <c r="R31" s="196"/>
      <c r="S31" s="198"/>
      <c r="T31" s="643"/>
      <c r="U31" s="643"/>
      <c r="V31" s="1461"/>
      <c r="W31" s="1457"/>
      <c r="X31" s="1462"/>
    </row>
    <row r="32" spans="1:24">
      <c r="A32" s="233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8"/>
      <c r="M32" s="196" t="s">
        <v>471</v>
      </c>
      <c r="N32" s="197"/>
      <c r="O32" s="197"/>
      <c r="P32" s="198"/>
      <c r="Q32" s="562"/>
      <c r="R32" s="1208"/>
      <c r="S32" s="1459"/>
      <c r="T32" s="1706"/>
      <c r="U32" s="1460"/>
      <c r="V32" s="1461">
        <f>V34+V36+V39+V38</f>
        <v>43800000</v>
      </c>
      <c r="W32" s="1457"/>
      <c r="X32" s="1462"/>
    </row>
    <row r="33" spans="1:28">
      <c r="A33" s="233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8"/>
      <c r="M33" s="209" t="s">
        <v>721</v>
      </c>
      <c r="N33" s="197"/>
      <c r="O33" s="197"/>
      <c r="P33" s="198"/>
      <c r="Q33" s="562"/>
      <c r="R33" s="1208"/>
      <c r="S33" s="1459"/>
      <c r="T33" s="1706"/>
      <c r="U33" s="1460"/>
      <c r="V33" s="1461"/>
      <c r="W33" s="1457"/>
      <c r="X33" s="1462"/>
    </row>
    <row r="34" spans="1:28">
      <c r="A34" s="233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8"/>
      <c r="M34" s="197"/>
      <c r="N34" s="197" t="s">
        <v>990</v>
      </c>
      <c r="O34" s="197"/>
      <c r="P34" s="198"/>
      <c r="Q34" s="562">
        <v>16</v>
      </c>
      <c r="R34" s="1208" t="s">
        <v>328</v>
      </c>
      <c r="S34" s="1459"/>
      <c r="T34" s="1706">
        <v>1000000</v>
      </c>
      <c r="U34" s="1460"/>
      <c r="V34" s="1461">
        <f>Q34*T34</f>
        <v>16000000</v>
      </c>
      <c r="W34" s="1457"/>
      <c r="X34" s="1462"/>
    </row>
    <row r="35" spans="1:28">
      <c r="A35" s="233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8"/>
      <c r="M35" s="644" t="s">
        <v>598</v>
      </c>
      <c r="N35" s="197"/>
      <c r="O35" s="197"/>
      <c r="P35" s="198"/>
      <c r="Q35" s="562"/>
      <c r="R35" s="562"/>
      <c r="S35" s="568"/>
      <c r="T35" s="645"/>
      <c r="U35" s="569"/>
      <c r="V35" s="567"/>
      <c r="W35" s="565"/>
      <c r="X35" s="566"/>
    </row>
    <row r="36" spans="1:28">
      <c r="A36" s="233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8"/>
      <c r="M36" s="209"/>
      <c r="N36" s="197" t="s">
        <v>630</v>
      </c>
      <c r="O36" s="197"/>
      <c r="P36" s="198"/>
      <c r="Q36" s="562">
        <v>8</v>
      </c>
      <c r="R36" s="1208" t="s">
        <v>328</v>
      </c>
      <c r="S36" s="1459"/>
      <c r="T36" s="1706">
        <v>850000</v>
      </c>
      <c r="U36" s="1460"/>
      <c r="V36" s="1461">
        <f>Q36*T36</f>
        <v>6800000</v>
      </c>
      <c r="W36" s="1457"/>
      <c r="X36" s="1462"/>
    </row>
    <row r="37" spans="1:28">
      <c r="A37" s="233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8"/>
      <c r="M37" s="644" t="s">
        <v>472</v>
      </c>
      <c r="N37" s="197"/>
      <c r="O37" s="197"/>
      <c r="P37" s="198"/>
      <c r="Q37" s="562"/>
      <c r="R37" s="562"/>
      <c r="S37" s="568"/>
      <c r="T37" s="645"/>
      <c r="U37" s="569"/>
      <c r="V37" s="567"/>
      <c r="W37" s="565"/>
      <c r="X37" s="566"/>
    </row>
    <row r="38" spans="1:28">
      <c r="A38" s="233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8"/>
      <c r="M38" s="644"/>
      <c r="N38" s="197" t="s">
        <v>631</v>
      </c>
      <c r="O38" s="197"/>
      <c r="P38" s="198"/>
      <c r="Q38" s="562">
        <v>4</v>
      </c>
      <c r="R38" s="1208" t="s">
        <v>328</v>
      </c>
      <c r="S38" s="1459"/>
      <c r="T38" s="1706">
        <v>750000</v>
      </c>
      <c r="U38" s="1460"/>
      <c r="V38" s="1461">
        <f>T38*Q38</f>
        <v>3000000</v>
      </c>
      <c r="W38" s="1457"/>
      <c r="X38" s="1462"/>
    </row>
    <row r="39" spans="1:28">
      <c r="A39" s="233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8"/>
      <c r="M39" s="209" t="s">
        <v>476</v>
      </c>
      <c r="N39" s="197"/>
      <c r="O39" s="197"/>
      <c r="P39" s="198"/>
      <c r="Q39" s="562">
        <v>1</v>
      </c>
      <c r="R39" s="1208" t="s">
        <v>329</v>
      </c>
      <c r="S39" s="1459"/>
      <c r="T39" s="1706">
        <v>18000000</v>
      </c>
      <c r="U39" s="1460"/>
      <c r="V39" s="1461">
        <f>Q39*T39</f>
        <v>18000000</v>
      </c>
      <c r="W39" s="1457"/>
      <c r="X39" s="1462"/>
    </row>
    <row r="40" spans="1:28">
      <c r="A40" s="233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8"/>
      <c r="M40" s="209"/>
      <c r="N40" s="197"/>
      <c r="O40" s="197"/>
      <c r="P40" s="198"/>
      <c r="Q40" s="562"/>
      <c r="R40" s="562"/>
      <c r="S40" s="568"/>
      <c r="T40" s="645"/>
      <c r="U40" s="569"/>
      <c r="V40" s="567"/>
      <c r="W40" s="565"/>
      <c r="X40" s="566"/>
    </row>
    <row r="41" spans="1:28">
      <c r="A41" s="233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8"/>
      <c r="M41" s="196" t="s">
        <v>473</v>
      </c>
      <c r="N41" s="197"/>
      <c r="O41" s="197"/>
      <c r="P41" s="198"/>
      <c r="Q41" s="562"/>
      <c r="R41" s="562"/>
      <c r="S41" s="568"/>
      <c r="T41" s="645"/>
      <c r="U41" s="569"/>
      <c r="V41" s="1461"/>
      <c r="W41" s="1457"/>
      <c r="X41" s="1462"/>
    </row>
    <row r="42" spans="1:28">
      <c r="A42" s="233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8"/>
      <c r="M42" s="196" t="s">
        <v>475</v>
      </c>
      <c r="N42" s="197"/>
      <c r="O42" s="197"/>
      <c r="P42" s="198"/>
      <c r="Q42" s="562"/>
      <c r="R42" s="562"/>
      <c r="S42" s="568"/>
      <c r="T42" s="645"/>
      <c r="U42" s="569"/>
      <c r="V42" s="567"/>
      <c r="W42" s="565"/>
      <c r="X42" s="566"/>
    </row>
    <row r="43" spans="1:28">
      <c r="A43" s="233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8"/>
      <c r="M43" s="196" t="s">
        <v>474</v>
      </c>
      <c r="N43" s="197"/>
      <c r="O43" s="197"/>
      <c r="P43" s="198"/>
      <c r="Q43" s="562"/>
      <c r="R43" s="562"/>
      <c r="S43" s="568"/>
      <c r="T43" s="645"/>
      <c r="U43" s="569"/>
      <c r="V43" s="1461">
        <f>SUM(V45:X51)</f>
        <v>58800000</v>
      </c>
      <c r="W43" s="1457"/>
      <c r="X43" s="1462"/>
    </row>
    <row r="44" spans="1:28">
      <c r="A44" s="233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8"/>
      <c r="M44" s="209" t="s">
        <v>721</v>
      </c>
      <c r="N44" s="197"/>
      <c r="O44" s="197"/>
      <c r="P44" s="198"/>
      <c r="Q44" s="562"/>
      <c r="R44" s="562"/>
      <c r="S44" s="568"/>
      <c r="T44" s="645"/>
      <c r="U44" s="569"/>
      <c r="V44" s="567"/>
      <c r="W44" s="565"/>
      <c r="X44" s="566"/>
    </row>
    <row r="45" spans="1:28">
      <c r="A45" s="233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8"/>
      <c r="M45" s="197"/>
      <c r="N45" s="197" t="s">
        <v>1036</v>
      </c>
      <c r="O45" s="197"/>
      <c r="P45" s="198"/>
      <c r="Q45" s="562">
        <v>21</v>
      </c>
      <c r="R45" s="1208" t="s">
        <v>328</v>
      </c>
      <c r="S45" s="1459"/>
      <c r="T45" s="1706">
        <v>500000</v>
      </c>
      <c r="U45" s="1460"/>
      <c r="V45" s="1461">
        <f>T45*Q45</f>
        <v>10500000</v>
      </c>
      <c r="W45" s="1457"/>
      <c r="X45" s="1462"/>
    </row>
    <row r="46" spans="1:28">
      <c r="A46" s="233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8"/>
      <c r="M46" s="644" t="s">
        <v>598</v>
      </c>
      <c r="N46" s="197"/>
      <c r="O46" s="197"/>
      <c r="P46" s="198"/>
      <c r="Q46" s="562"/>
      <c r="R46" s="1208"/>
      <c r="S46" s="1459"/>
      <c r="T46" s="1706"/>
      <c r="U46" s="1460"/>
      <c r="V46" s="1461">
        <f>Q46*T46</f>
        <v>0</v>
      </c>
      <c r="W46" s="1457"/>
      <c r="X46" s="1462"/>
      <c r="AB46">
        <f>18/3</f>
        <v>6</v>
      </c>
    </row>
    <row r="47" spans="1:28">
      <c r="A47" s="233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8"/>
      <c r="M47" s="209"/>
      <c r="N47" s="197" t="s">
        <v>632</v>
      </c>
      <c r="O47" s="197"/>
      <c r="P47" s="198"/>
      <c r="Q47" s="562">
        <v>40</v>
      </c>
      <c r="R47" s="1208" t="s">
        <v>328</v>
      </c>
      <c r="S47" s="1459"/>
      <c r="T47" s="1706">
        <v>450000</v>
      </c>
      <c r="U47" s="1460"/>
      <c r="V47" s="1461">
        <f>Q47*T47</f>
        <v>18000000</v>
      </c>
      <c r="W47" s="1457"/>
      <c r="X47" s="1462"/>
    </row>
    <row r="48" spans="1:28">
      <c r="A48" s="233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8"/>
      <c r="M48" s="644" t="s">
        <v>472</v>
      </c>
      <c r="N48" s="197"/>
      <c r="O48" s="197"/>
      <c r="P48" s="198"/>
      <c r="Q48" s="562"/>
      <c r="R48" s="562"/>
      <c r="S48" s="568"/>
      <c r="T48" s="645"/>
      <c r="U48" s="569"/>
      <c r="V48" s="567"/>
      <c r="W48" s="565"/>
      <c r="X48" s="566"/>
    </row>
    <row r="49" spans="1:24">
      <c r="A49" s="233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8"/>
      <c r="M49" s="644"/>
      <c r="N49" s="197" t="s">
        <v>635</v>
      </c>
      <c r="O49" s="197"/>
      <c r="P49" s="198"/>
      <c r="Q49" s="562">
        <v>60</v>
      </c>
      <c r="R49" s="1208" t="s">
        <v>328</v>
      </c>
      <c r="S49" s="1459"/>
      <c r="T49" s="1706">
        <v>370000</v>
      </c>
      <c r="U49" s="1460"/>
      <c r="V49" s="1461">
        <f>Q49*T49</f>
        <v>22200000</v>
      </c>
      <c r="W49" s="1457"/>
      <c r="X49" s="1462"/>
    </row>
    <row r="50" spans="1:24">
      <c r="A50" s="233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8"/>
      <c r="M50" s="197" t="s">
        <v>633</v>
      </c>
      <c r="N50" s="197"/>
      <c r="O50" s="197"/>
      <c r="P50" s="198"/>
      <c r="Q50" s="562">
        <v>10</v>
      </c>
      <c r="R50" s="1208" t="s">
        <v>328</v>
      </c>
      <c r="S50" s="1459"/>
      <c r="T50" s="1706">
        <v>270000</v>
      </c>
      <c r="U50" s="1460"/>
      <c r="V50" s="1461">
        <f>Q50*T50</f>
        <v>2700000</v>
      </c>
      <c r="W50" s="1457"/>
      <c r="X50" s="1462"/>
    </row>
    <row r="51" spans="1:24">
      <c r="A51" s="233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8"/>
      <c r="M51" s="646" t="s">
        <v>634</v>
      </c>
      <c r="N51" s="197"/>
      <c r="O51" s="197"/>
      <c r="P51" s="198"/>
      <c r="Q51" s="562">
        <v>20</v>
      </c>
      <c r="R51" s="1208" t="s">
        <v>328</v>
      </c>
      <c r="S51" s="1459"/>
      <c r="T51" s="1706">
        <v>270000</v>
      </c>
      <c r="U51" s="1460"/>
      <c r="V51" s="1461">
        <f>Q51*T51</f>
        <v>5400000</v>
      </c>
      <c r="W51" s="1457"/>
      <c r="X51" s="1462"/>
    </row>
    <row r="52" spans="1:24">
      <c r="A52" s="233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8"/>
      <c r="M52" s="646"/>
      <c r="N52" s="197"/>
      <c r="O52" s="197"/>
      <c r="P52" s="198"/>
      <c r="Q52" s="562"/>
      <c r="R52" s="562"/>
      <c r="S52" s="568"/>
      <c r="T52" s="645"/>
      <c r="U52" s="569"/>
      <c r="V52" s="567"/>
      <c r="W52" s="565"/>
      <c r="X52" s="566"/>
    </row>
    <row r="53" spans="1:24" ht="27" customHeight="1">
      <c r="A53" s="1707" t="s">
        <v>144</v>
      </c>
      <c r="B53" s="1708"/>
      <c r="C53" s="1708"/>
      <c r="D53" s="1708"/>
      <c r="E53" s="1708"/>
      <c r="F53" s="1708"/>
      <c r="G53" s="1708"/>
      <c r="H53" s="1708"/>
      <c r="I53" s="1708"/>
      <c r="J53" s="1708"/>
      <c r="K53" s="1708"/>
      <c r="L53" s="1708"/>
      <c r="M53" s="1708"/>
      <c r="N53" s="1708"/>
      <c r="O53" s="1709"/>
      <c r="P53" s="1710" t="s">
        <v>644</v>
      </c>
      <c r="Q53" s="1711"/>
      <c r="R53" s="1711"/>
      <c r="S53" s="1712"/>
      <c r="T53" s="1710" t="s">
        <v>645</v>
      </c>
      <c r="U53" s="1711"/>
      <c r="V53" s="1711"/>
      <c r="W53" s="1711"/>
      <c r="X53" s="1712"/>
    </row>
    <row r="54" spans="1:24">
      <c r="A54" s="647"/>
      <c r="B54" s="647"/>
      <c r="C54" s="647"/>
      <c r="D54" s="647"/>
      <c r="E54" s="647"/>
      <c r="F54" s="647"/>
      <c r="G54" s="647"/>
      <c r="H54" s="647"/>
      <c r="I54" s="647"/>
      <c r="J54" s="647"/>
      <c r="K54" s="647"/>
      <c r="L54" s="647"/>
      <c r="M54" s="647"/>
      <c r="N54" s="647"/>
      <c r="O54" s="647"/>
      <c r="P54" s="648"/>
      <c r="Q54" s="648"/>
      <c r="R54" s="648"/>
      <c r="S54" s="648"/>
      <c r="T54" s="649"/>
      <c r="U54" s="649"/>
      <c r="V54" s="649"/>
      <c r="W54" s="649"/>
      <c r="X54" s="649"/>
    </row>
    <row r="55" spans="1:24">
      <c r="A55" s="650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49"/>
      <c r="Q55" s="649"/>
      <c r="R55" s="649"/>
      <c r="S55" s="649"/>
      <c r="T55" s="649"/>
      <c r="U55" s="649"/>
      <c r="V55" s="649"/>
      <c r="W55" s="649"/>
      <c r="X55" s="649"/>
    </row>
    <row r="56" spans="1:24">
      <c r="A56" s="650"/>
      <c r="B56" s="650"/>
      <c r="C56" s="650"/>
      <c r="D56" s="650"/>
      <c r="E56" s="650"/>
      <c r="F56" s="650"/>
      <c r="G56" s="650"/>
      <c r="H56" s="650"/>
      <c r="I56" s="650"/>
      <c r="J56" s="650"/>
      <c r="K56" s="650"/>
      <c r="L56" s="650"/>
      <c r="M56" s="650"/>
      <c r="N56" s="650"/>
      <c r="O56" s="650"/>
      <c r="P56" s="649"/>
      <c r="Q56" s="649"/>
      <c r="R56" s="649"/>
      <c r="S56" s="649"/>
      <c r="T56" s="649"/>
      <c r="U56" s="649"/>
      <c r="V56" s="649"/>
      <c r="W56" s="649"/>
      <c r="X56" s="649"/>
    </row>
    <row r="57" spans="1:24">
      <c r="A57" s="650"/>
      <c r="B57" s="650"/>
      <c r="C57" s="650"/>
      <c r="D57" s="650"/>
      <c r="E57" s="650"/>
      <c r="F57" s="650"/>
      <c r="G57" s="650"/>
      <c r="H57" s="650"/>
      <c r="I57" s="650"/>
      <c r="J57" s="650"/>
      <c r="K57" s="650"/>
      <c r="L57" s="650"/>
      <c r="M57" s="650"/>
      <c r="N57" s="650"/>
      <c r="O57" s="650"/>
      <c r="P57" s="649"/>
      <c r="Q57" s="649"/>
      <c r="R57" s="649"/>
      <c r="S57" s="649"/>
      <c r="T57" s="649"/>
      <c r="U57" s="649"/>
      <c r="V57" s="649"/>
      <c r="W57" s="649"/>
      <c r="X57" s="649"/>
    </row>
    <row r="58" spans="1:24">
      <c r="A58" s="650"/>
      <c r="B58" s="650"/>
      <c r="C58" s="650"/>
      <c r="D58" s="650"/>
      <c r="E58" s="650"/>
      <c r="F58" s="650"/>
      <c r="G58" s="650"/>
      <c r="H58" s="650"/>
      <c r="I58" s="650"/>
      <c r="J58" s="650"/>
      <c r="K58" s="650"/>
      <c r="L58" s="650"/>
      <c r="M58" s="650"/>
      <c r="N58" s="650"/>
      <c r="O58" s="650"/>
      <c r="P58" s="649"/>
      <c r="Q58" s="649"/>
      <c r="R58" s="649"/>
      <c r="S58" s="649"/>
      <c r="T58" s="649"/>
      <c r="U58" s="649"/>
      <c r="V58" s="649"/>
      <c r="W58" s="649"/>
      <c r="X58" s="649"/>
    </row>
    <row r="59" spans="1:24">
      <c r="A59" s="650"/>
      <c r="B59" s="650"/>
      <c r="C59" s="650"/>
      <c r="D59" s="650"/>
      <c r="E59" s="650"/>
      <c r="F59" s="650"/>
      <c r="G59" s="650"/>
      <c r="H59" s="650"/>
      <c r="I59" s="650"/>
      <c r="J59" s="650"/>
      <c r="K59" s="650"/>
      <c r="L59" s="650"/>
      <c r="M59" s="650"/>
      <c r="N59" s="650"/>
      <c r="O59" s="650"/>
      <c r="P59" s="649"/>
      <c r="Q59" s="649"/>
      <c r="R59" s="649"/>
      <c r="S59" s="649"/>
      <c r="T59" s="649"/>
      <c r="U59" s="649"/>
      <c r="V59" s="649"/>
      <c r="W59" s="649"/>
      <c r="X59" s="649"/>
    </row>
    <row r="60" spans="1:24">
      <c r="A60" s="650"/>
      <c r="B60" s="650"/>
      <c r="C60" s="650"/>
      <c r="D60" s="650"/>
      <c r="E60" s="650"/>
      <c r="F60" s="650"/>
      <c r="G60" s="650"/>
      <c r="H60" s="650"/>
      <c r="I60" s="650"/>
      <c r="J60" s="650"/>
      <c r="K60" s="650"/>
      <c r="L60" s="650"/>
      <c r="M60" s="650"/>
      <c r="N60" s="650"/>
      <c r="O60" s="650"/>
      <c r="P60" s="649"/>
      <c r="Q60" s="649"/>
      <c r="R60" s="649"/>
      <c r="S60" s="649"/>
      <c r="T60" s="649"/>
      <c r="U60" s="649"/>
      <c r="V60" s="649"/>
      <c r="W60" s="649"/>
      <c r="X60" s="649"/>
    </row>
    <row r="61" spans="1:24">
      <c r="A61" s="650"/>
      <c r="B61" s="650"/>
      <c r="C61" s="650"/>
      <c r="D61" s="650"/>
      <c r="E61" s="650"/>
      <c r="F61" s="650"/>
      <c r="G61" s="650"/>
      <c r="H61" s="650"/>
      <c r="I61" s="650"/>
      <c r="J61" s="650"/>
      <c r="K61" s="650"/>
      <c r="L61" s="650"/>
      <c r="M61" s="650"/>
      <c r="N61" s="650"/>
      <c r="O61" s="650"/>
      <c r="P61" s="649"/>
      <c r="Q61" s="649"/>
      <c r="R61" s="649"/>
      <c r="S61" s="649"/>
      <c r="T61" s="649"/>
      <c r="U61" s="649"/>
      <c r="V61" s="649"/>
      <c r="W61" s="649"/>
      <c r="X61" s="649"/>
    </row>
    <row r="62" spans="1:24">
      <c r="A62" s="650"/>
      <c r="B62" s="650"/>
      <c r="C62" s="650"/>
      <c r="D62" s="650"/>
      <c r="E62" s="650"/>
      <c r="F62" s="650"/>
      <c r="G62" s="650"/>
      <c r="H62" s="650"/>
      <c r="I62" s="650"/>
      <c r="J62" s="650"/>
      <c r="K62" s="650"/>
      <c r="L62" s="650"/>
      <c r="M62" s="650"/>
      <c r="N62" s="650"/>
      <c r="O62" s="650"/>
      <c r="P62" s="649"/>
      <c r="Q62" s="649"/>
      <c r="R62" s="649"/>
      <c r="S62" s="649"/>
      <c r="T62" s="649"/>
      <c r="U62" s="649"/>
      <c r="V62" s="649"/>
      <c r="W62" s="649"/>
      <c r="X62" s="649"/>
    </row>
    <row r="63" spans="1:24">
      <c r="A63" s="650"/>
      <c r="B63" s="650"/>
      <c r="C63" s="650"/>
      <c r="D63" s="650"/>
      <c r="E63" s="650"/>
      <c r="F63" s="650"/>
      <c r="G63" s="650"/>
      <c r="H63" s="650"/>
      <c r="I63" s="650"/>
      <c r="J63" s="650"/>
      <c r="K63" s="650"/>
      <c r="L63" s="650"/>
      <c r="M63" s="650"/>
      <c r="N63" s="650"/>
      <c r="O63" s="650"/>
      <c r="P63" s="649"/>
      <c r="Q63" s="649"/>
      <c r="R63" s="649"/>
      <c r="S63" s="649"/>
      <c r="T63" s="649"/>
      <c r="U63" s="649"/>
      <c r="V63" s="649"/>
      <c r="W63" s="649"/>
      <c r="X63" s="649"/>
    </row>
    <row r="64" spans="1:24">
      <c r="A64" s="650"/>
      <c r="B64" s="650"/>
      <c r="C64" s="650"/>
      <c r="D64" s="650"/>
      <c r="E64" s="650"/>
      <c r="F64" s="650"/>
      <c r="G64" s="650"/>
      <c r="H64" s="650"/>
      <c r="I64" s="650"/>
      <c r="J64" s="650"/>
      <c r="K64" s="650"/>
      <c r="L64" s="650"/>
      <c r="M64" s="650"/>
      <c r="N64" s="650"/>
      <c r="O64" s="650"/>
      <c r="P64" s="649"/>
      <c r="Q64" s="649"/>
      <c r="R64" s="649"/>
      <c r="S64" s="649"/>
      <c r="T64" s="649"/>
      <c r="U64" s="649"/>
      <c r="V64" s="649"/>
      <c r="W64" s="649"/>
      <c r="X64" s="649"/>
    </row>
    <row r="65" spans="1:24">
      <c r="A65" s="650"/>
      <c r="B65" s="650"/>
      <c r="C65" s="650"/>
      <c r="D65" s="650"/>
      <c r="E65" s="650"/>
      <c r="F65" s="650"/>
      <c r="G65" s="650"/>
      <c r="H65" s="650"/>
      <c r="I65" s="650"/>
      <c r="J65" s="650"/>
      <c r="K65" s="650"/>
      <c r="L65" s="650"/>
      <c r="M65" s="650"/>
      <c r="N65" s="650"/>
      <c r="O65" s="650"/>
      <c r="P65" s="649"/>
      <c r="Q65" s="649"/>
      <c r="R65" s="649"/>
      <c r="S65" s="649"/>
      <c r="T65" s="649"/>
      <c r="U65" s="649"/>
      <c r="V65" s="649"/>
      <c r="W65" s="649"/>
      <c r="X65" s="649"/>
    </row>
    <row r="66" spans="1:24">
      <c r="A66" s="650"/>
      <c r="B66" s="650"/>
      <c r="C66" s="650"/>
      <c r="D66" s="650"/>
      <c r="E66" s="650"/>
      <c r="F66" s="650"/>
      <c r="G66" s="650"/>
      <c r="H66" s="650"/>
      <c r="I66" s="650"/>
      <c r="J66" s="650"/>
      <c r="K66" s="650"/>
      <c r="L66" s="650"/>
      <c r="M66" s="650"/>
      <c r="N66" s="650"/>
      <c r="O66" s="650"/>
      <c r="P66" s="649"/>
      <c r="Q66" s="649"/>
      <c r="R66" s="649"/>
      <c r="S66" s="649"/>
      <c r="T66" s="649"/>
      <c r="U66" s="649"/>
      <c r="V66" s="649"/>
      <c r="W66" s="649"/>
      <c r="X66" s="649"/>
    </row>
    <row r="67" spans="1:24">
      <c r="A67" s="650"/>
      <c r="B67" s="650"/>
      <c r="C67" s="650"/>
      <c r="D67" s="650"/>
      <c r="E67" s="650"/>
      <c r="F67" s="650"/>
      <c r="G67" s="650"/>
      <c r="H67" s="650"/>
      <c r="I67" s="650"/>
      <c r="J67" s="650"/>
      <c r="K67" s="650"/>
      <c r="L67" s="650"/>
      <c r="M67" s="650"/>
      <c r="N67" s="650"/>
      <c r="O67" s="650"/>
      <c r="P67" s="649"/>
      <c r="Q67" s="649"/>
      <c r="R67" s="649"/>
      <c r="S67" s="649"/>
      <c r="T67" s="649"/>
      <c r="U67" s="649"/>
      <c r="V67" s="649"/>
      <c r="W67" s="649"/>
      <c r="X67" s="649"/>
    </row>
    <row r="68" spans="1:24">
      <c r="A68" s="650"/>
      <c r="B68" s="650"/>
      <c r="C68" s="650"/>
      <c r="D68" s="650"/>
      <c r="E68" s="650"/>
      <c r="F68" s="650"/>
      <c r="G68" s="650"/>
      <c r="H68" s="650"/>
      <c r="I68" s="650"/>
      <c r="J68" s="650"/>
      <c r="K68" s="650"/>
      <c r="L68" s="650"/>
      <c r="M68" s="650"/>
      <c r="N68" s="650"/>
      <c r="O68" s="650"/>
      <c r="P68" s="649"/>
      <c r="Q68" s="649"/>
      <c r="R68" s="649"/>
      <c r="S68" s="649"/>
      <c r="T68" s="649"/>
      <c r="U68" s="649"/>
      <c r="V68" s="649"/>
      <c r="W68" s="649"/>
      <c r="X68" s="649"/>
    </row>
    <row r="69" spans="1:24">
      <c r="A69" s="650"/>
      <c r="B69" s="650"/>
      <c r="C69" s="650"/>
      <c r="D69" s="650"/>
      <c r="E69" s="650"/>
      <c r="F69" s="650"/>
      <c r="G69" s="650"/>
      <c r="H69" s="650"/>
      <c r="I69" s="650"/>
      <c r="J69" s="650"/>
      <c r="K69" s="650"/>
      <c r="L69" s="650"/>
      <c r="M69" s="650"/>
      <c r="N69" s="650"/>
      <c r="O69" s="650"/>
      <c r="P69" s="649"/>
      <c r="Q69" s="649"/>
      <c r="R69" s="649"/>
      <c r="S69" s="649"/>
      <c r="T69" s="649"/>
      <c r="U69" s="649"/>
      <c r="V69" s="649"/>
      <c r="W69" s="649"/>
      <c r="X69" s="649"/>
    </row>
    <row r="70" spans="1:24">
      <c r="A70" s="650"/>
      <c r="B70" s="650"/>
      <c r="C70" s="650"/>
      <c r="D70" s="650"/>
      <c r="E70" s="650"/>
      <c r="F70" s="650"/>
      <c r="G70" s="650"/>
      <c r="H70" s="650"/>
      <c r="I70" s="650"/>
      <c r="J70" s="650"/>
      <c r="K70" s="650"/>
      <c r="L70" s="650"/>
      <c r="M70" s="650"/>
      <c r="N70" s="650"/>
      <c r="O70" s="650"/>
      <c r="P70" s="649"/>
      <c r="Q70" s="649"/>
      <c r="R70" s="649"/>
      <c r="S70" s="649"/>
      <c r="T70" s="649"/>
      <c r="U70" s="649"/>
      <c r="V70" s="649"/>
      <c r="W70" s="649"/>
      <c r="X70" s="649"/>
    </row>
    <row r="71" spans="1:24">
      <c r="A71" s="650"/>
      <c r="B71" s="650"/>
      <c r="C71" s="650"/>
      <c r="D71" s="650"/>
      <c r="E71" s="650"/>
      <c r="F71" s="650"/>
      <c r="G71" s="650"/>
      <c r="H71" s="650"/>
      <c r="I71" s="650"/>
      <c r="J71" s="650"/>
      <c r="K71" s="650"/>
      <c r="L71" s="650"/>
      <c r="M71" s="650"/>
      <c r="N71" s="650"/>
      <c r="O71" s="650"/>
      <c r="P71" s="649"/>
      <c r="Q71" s="649"/>
      <c r="R71" s="649"/>
      <c r="S71" s="649"/>
      <c r="T71" s="649"/>
      <c r="U71" s="649"/>
      <c r="V71" s="649"/>
      <c r="W71" s="649"/>
      <c r="X71" s="649"/>
    </row>
    <row r="72" spans="1:24">
      <c r="A72" s="650"/>
      <c r="B72" s="650"/>
      <c r="C72" s="650"/>
      <c r="D72" s="650"/>
      <c r="E72" s="650"/>
      <c r="F72" s="650"/>
      <c r="G72" s="650"/>
      <c r="H72" s="650"/>
      <c r="I72" s="650"/>
      <c r="J72" s="650"/>
      <c r="K72" s="650"/>
      <c r="L72" s="650"/>
      <c r="M72" s="650"/>
      <c r="N72" s="650"/>
      <c r="O72" s="650"/>
      <c r="P72" s="649"/>
      <c r="Q72" s="649"/>
      <c r="R72" s="649"/>
      <c r="S72" s="649"/>
      <c r="T72" s="649"/>
      <c r="U72" s="649"/>
      <c r="V72" s="649"/>
      <c r="W72" s="649"/>
      <c r="X72" s="649"/>
    </row>
    <row r="73" spans="1:24">
      <c r="A73" s="650"/>
      <c r="B73" s="650"/>
      <c r="C73" s="650"/>
      <c r="D73" s="650"/>
      <c r="E73" s="650"/>
      <c r="F73" s="650"/>
      <c r="G73" s="650"/>
      <c r="H73" s="650"/>
      <c r="I73" s="650"/>
      <c r="J73" s="650"/>
      <c r="K73" s="650"/>
      <c r="L73" s="650"/>
      <c r="M73" s="650"/>
      <c r="N73" s="650"/>
      <c r="O73" s="650"/>
      <c r="P73" s="649"/>
      <c r="Q73" s="649"/>
      <c r="R73" s="649"/>
      <c r="S73" s="649"/>
      <c r="T73" s="649"/>
      <c r="U73" s="649"/>
      <c r="V73" s="649"/>
      <c r="W73" s="649"/>
      <c r="X73" s="649"/>
    </row>
    <row r="74" spans="1:24">
      <c r="A74" s="650"/>
      <c r="B74" s="650"/>
      <c r="C74" s="650"/>
      <c r="D74" s="650"/>
      <c r="E74" s="650"/>
      <c r="F74" s="650"/>
      <c r="G74" s="650"/>
      <c r="H74" s="650"/>
      <c r="I74" s="650"/>
      <c r="J74" s="650"/>
      <c r="K74" s="650"/>
      <c r="L74" s="650"/>
      <c r="M74" s="650"/>
      <c r="N74" s="650"/>
      <c r="O74" s="650"/>
      <c r="P74" s="649"/>
      <c r="Q74" s="649"/>
      <c r="R74" s="649"/>
      <c r="S74" s="649"/>
      <c r="T74" s="649"/>
      <c r="U74" s="649"/>
      <c r="V74" s="649"/>
      <c r="W74" s="649"/>
      <c r="X74" s="649"/>
    </row>
    <row r="75" spans="1:24">
      <c r="A75" s="650"/>
      <c r="B75" s="650"/>
      <c r="C75" s="650"/>
      <c r="D75" s="650"/>
      <c r="E75" s="650"/>
      <c r="F75" s="650"/>
      <c r="G75" s="650"/>
      <c r="H75" s="650"/>
      <c r="I75" s="650"/>
      <c r="J75" s="650"/>
      <c r="K75" s="650"/>
      <c r="L75" s="650"/>
      <c r="M75" s="650"/>
      <c r="N75" s="650"/>
      <c r="O75" s="650"/>
      <c r="P75" s="649"/>
      <c r="Q75" s="649"/>
      <c r="R75" s="649"/>
      <c r="S75" s="649"/>
      <c r="T75" s="649"/>
      <c r="U75" s="649"/>
      <c r="V75" s="649"/>
      <c r="W75" s="649"/>
      <c r="X75" s="649"/>
    </row>
    <row r="76" spans="1:24">
      <c r="A76" s="650"/>
      <c r="B76" s="650"/>
      <c r="C76" s="650"/>
      <c r="D76" s="650"/>
      <c r="E76" s="650"/>
      <c r="F76" s="650"/>
      <c r="G76" s="650"/>
      <c r="H76" s="650"/>
      <c r="I76" s="650"/>
      <c r="J76" s="650"/>
      <c r="K76" s="650"/>
      <c r="L76" s="650"/>
      <c r="M76" s="650"/>
      <c r="N76" s="650"/>
      <c r="O76" s="650"/>
      <c r="P76" s="649"/>
      <c r="Q76" s="649"/>
      <c r="R76" s="649"/>
      <c r="S76" s="649"/>
      <c r="T76" s="649"/>
      <c r="U76" s="649"/>
      <c r="V76" s="649"/>
      <c r="W76" s="649"/>
      <c r="X76" s="649"/>
    </row>
    <row r="77" spans="1:24">
      <c r="A77" s="650"/>
      <c r="B77" s="650"/>
      <c r="C77" s="650"/>
      <c r="D77" s="650"/>
      <c r="E77" s="650"/>
      <c r="F77" s="650"/>
      <c r="G77" s="650"/>
      <c r="H77" s="650"/>
      <c r="I77" s="650"/>
      <c r="J77" s="650"/>
      <c r="K77" s="650"/>
      <c r="L77" s="650"/>
      <c r="M77" s="650"/>
      <c r="N77" s="650"/>
      <c r="O77" s="650"/>
      <c r="P77" s="649"/>
      <c r="Q77" s="649"/>
      <c r="R77" s="649"/>
      <c r="S77" s="649"/>
      <c r="T77" s="649"/>
      <c r="U77" s="649"/>
      <c r="V77" s="649"/>
      <c r="W77" s="649"/>
      <c r="X77" s="649"/>
    </row>
    <row r="78" spans="1:24">
      <c r="A78" s="650"/>
      <c r="B78" s="650"/>
      <c r="C78" s="650"/>
      <c r="D78" s="650"/>
      <c r="E78" s="650"/>
      <c r="F78" s="650"/>
      <c r="G78" s="650"/>
      <c r="H78" s="650"/>
      <c r="I78" s="650"/>
      <c r="J78" s="650"/>
      <c r="K78" s="650"/>
      <c r="L78" s="650"/>
      <c r="M78" s="650"/>
      <c r="N78" s="650"/>
      <c r="O78" s="650"/>
      <c r="P78" s="649"/>
      <c r="Q78" s="649"/>
      <c r="R78" s="651"/>
      <c r="S78" s="651"/>
      <c r="T78" s="649"/>
      <c r="U78" s="649"/>
      <c r="V78" s="649"/>
      <c r="W78" s="649"/>
      <c r="X78" s="649"/>
    </row>
    <row r="79" spans="1:24">
      <c r="A79" s="201"/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3"/>
      <c r="M79" s="652"/>
      <c r="N79" s="202"/>
      <c r="O79" s="202"/>
      <c r="P79" s="203"/>
      <c r="Q79" s="653"/>
      <c r="R79" s="653"/>
      <c r="S79" s="654"/>
      <c r="T79" s="655"/>
      <c r="U79" s="656"/>
      <c r="V79" s="657"/>
      <c r="W79" s="658"/>
      <c r="X79" s="659"/>
    </row>
    <row r="80" spans="1:24">
      <c r="A80" s="196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8"/>
      <c r="M80" s="196" t="s">
        <v>477</v>
      </c>
      <c r="N80" s="197"/>
      <c r="O80" s="66"/>
      <c r="P80" s="198"/>
      <c r="Q80" s="562"/>
      <c r="R80" s="562"/>
      <c r="S80" s="568"/>
      <c r="T80" s="645"/>
      <c r="U80" s="569"/>
      <c r="V80" s="567"/>
      <c r="W80" s="565"/>
      <c r="X80" s="566"/>
    </row>
    <row r="81" spans="1:26">
      <c r="A81" s="196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8"/>
      <c r="M81" s="196" t="s">
        <v>478</v>
      </c>
      <c r="N81" s="197"/>
      <c r="O81" s="66"/>
      <c r="P81" s="198"/>
      <c r="Q81" s="562"/>
      <c r="R81" s="562"/>
      <c r="S81" s="568"/>
      <c r="T81" s="645"/>
      <c r="U81" s="569"/>
      <c r="V81" s="1461">
        <f>V83+V85+V87+V88</f>
        <v>27400000</v>
      </c>
      <c r="W81" s="1457"/>
      <c r="X81" s="1462"/>
    </row>
    <row r="82" spans="1:26">
      <c r="A82" s="196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8"/>
      <c r="M82" s="209" t="s">
        <v>721</v>
      </c>
      <c r="N82" s="197"/>
      <c r="O82" s="197"/>
      <c r="P82" s="198"/>
      <c r="Q82" s="562"/>
      <c r="R82" s="562"/>
      <c r="S82" s="568"/>
      <c r="T82" s="645"/>
      <c r="U82" s="569"/>
      <c r="V82" s="567"/>
      <c r="W82" s="565"/>
      <c r="X82" s="566"/>
    </row>
    <row r="83" spans="1:26">
      <c r="A83" s="196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8"/>
      <c r="M83" s="197"/>
      <c r="N83" s="197" t="s">
        <v>991</v>
      </c>
      <c r="O83" s="197"/>
      <c r="P83" s="198"/>
      <c r="Q83" s="562">
        <v>16</v>
      </c>
      <c r="R83" s="1208" t="s">
        <v>328</v>
      </c>
      <c r="S83" s="1459"/>
      <c r="T83" s="1706">
        <v>400000</v>
      </c>
      <c r="U83" s="1460"/>
      <c r="V83" s="1461">
        <f>Q83*T83</f>
        <v>6400000</v>
      </c>
      <c r="W83" s="1457"/>
      <c r="X83" s="1462"/>
    </row>
    <row r="84" spans="1:26">
      <c r="A84" s="196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8"/>
      <c r="M84" s="644" t="s">
        <v>598</v>
      </c>
      <c r="N84" s="197"/>
      <c r="O84" s="197"/>
      <c r="P84" s="198"/>
      <c r="Q84" s="562"/>
      <c r="R84" s="562"/>
      <c r="S84" s="568"/>
      <c r="T84" s="645"/>
      <c r="U84" s="569"/>
      <c r="V84" s="567"/>
      <c r="W84" s="565"/>
      <c r="X84" s="566"/>
    </row>
    <row r="85" spans="1:26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8"/>
      <c r="M85" s="209"/>
      <c r="N85" s="197" t="s">
        <v>992</v>
      </c>
      <c r="O85" s="197"/>
      <c r="P85" s="198"/>
      <c r="Q85" s="562">
        <v>30</v>
      </c>
      <c r="R85" s="1208" t="s">
        <v>328</v>
      </c>
      <c r="S85" s="1459"/>
      <c r="T85" s="1706">
        <v>350000</v>
      </c>
      <c r="U85" s="1460"/>
      <c r="V85" s="1461">
        <f>Q85*T85</f>
        <v>10500000</v>
      </c>
      <c r="W85" s="1457"/>
      <c r="X85" s="1462"/>
    </row>
    <row r="86" spans="1:26">
      <c r="A86" s="196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8"/>
      <c r="M86" s="644" t="s">
        <v>472</v>
      </c>
      <c r="N86" s="197"/>
      <c r="O86" s="197"/>
      <c r="P86" s="198"/>
      <c r="Q86" s="562"/>
      <c r="R86" s="562"/>
      <c r="S86" s="568"/>
      <c r="T86" s="645"/>
      <c r="U86" s="569"/>
      <c r="V86" s="567"/>
      <c r="W86" s="565"/>
      <c r="X86" s="566"/>
    </row>
    <row r="87" spans="1:26">
      <c r="A87" s="233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8"/>
      <c r="M87" s="644"/>
      <c r="N87" s="197" t="s">
        <v>1037</v>
      </c>
      <c r="O87" s="197"/>
      <c r="P87" s="198"/>
      <c r="Q87" s="562">
        <v>35</v>
      </c>
      <c r="R87" s="1208" t="s">
        <v>328</v>
      </c>
      <c r="S87" s="1459"/>
      <c r="T87" s="1706">
        <v>300000</v>
      </c>
      <c r="U87" s="1460"/>
      <c r="V87" s="1461">
        <f>Q87*T87</f>
        <v>10500000</v>
      </c>
      <c r="W87" s="1457"/>
      <c r="X87" s="1462"/>
    </row>
    <row r="88" spans="1:26">
      <c r="A88" s="233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8"/>
      <c r="M88" s="197"/>
      <c r="N88" s="197"/>
      <c r="O88" s="197"/>
      <c r="P88" s="198"/>
      <c r="Q88" s="562"/>
      <c r="R88" s="562"/>
      <c r="S88" s="568"/>
      <c r="T88" s="582"/>
      <c r="U88" s="582"/>
      <c r="V88" s="1461"/>
      <c r="W88" s="1457"/>
      <c r="X88" s="1462"/>
    </row>
    <row r="89" spans="1:26">
      <c r="A89" s="236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7"/>
      <c r="M89" s="205"/>
      <c r="N89" s="206"/>
      <c r="O89" s="206"/>
      <c r="P89" s="207"/>
      <c r="Q89" s="205"/>
      <c r="R89" s="205"/>
      <c r="S89" s="207"/>
      <c r="T89" s="660"/>
      <c r="U89" s="660"/>
      <c r="V89" s="661"/>
      <c r="W89" s="660"/>
      <c r="X89" s="662"/>
    </row>
    <row r="90" spans="1:26">
      <c r="A90" s="1713" t="s">
        <v>110</v>
      </c>
      <c r="B90" s="1473"/>
      <c r="C90" s="1473"/>
      <c r="D90" s="1473"/>
      <c r="E90" s="1473"/>
      <c r="F90" s="1473"/>
      <c r="G90" s="1473"/>
      <c r="H90" s="1473"/>
      <c r="I90" s="1473"/>
      <c r="J90" s="1473"/>
      <c r="K90" s="1473"/>
      <c r="L90" s="1473"/>
      <c r="M90" s="1473"/>
      <c r="N90" s="1473"/>
      <c r="O90" s="1473"/>
      <c r="P90" s="1473"/>
      <c r="Q90" s="1473"/>
      <c r="R90" s="1714"/>
      <c r="S90" s="1714"/>
      <c r="T90" s="1714"/>
      <c r="U90" s="1715"/>
      <c r="V90" s="1716">
        <f>V30</f>
        <v>130000000</v>
      </c>
      <c r="W90" s="1717"/>
      <c r="X90" s="1718"/>
    </row>
    <row r="91" spans="1:26" ht="15.75" thickBot="1">
      <c r="A91" s="846" t="s">
        <v>105</v>
      </c>
      <c r="B91" s="839"/>
      <c r="C91" s="839"/>
      <c r="D91" s="839"/>
      <c r="E91" s="839"/>
      <c r="F91" s="839"/>
      <c r="G91" s="839"/>
      <c r="H91" s="839"/>
      <c r="I91" s="839"/>
      <c r="J91" s="839"/>
      <c r="K91" s="839"/>
      <c r="L91" s="839"/>
      <c r="M91" s="839"/>
      <c r="N91" s="839"/>
      <c r="O91" s="839"/>
      <c r="P91" s="839"/>
      <c r="Q91" s="839"/>
      <c r="R91" s="839"/>
      <c r="S91" s="839"/>
      <c r="T91" s="839"/>
      <c r="U91" s="839"/>
      <c r="V91" s="839"/>
      <c r="W91" s="839"/>
      <c r="X91" s="844"/>
    </row>
    <row r="92" spans="1:26">
      <c r="A92" s="233" t="s">
        <v>106</v>
      </c>
      <c r="B92" s="197"/>
      <c r="C92" s="197"/>
      <c r="D92" s="197"/>
      <c r="E92" s="197" t="s">
        <v>6</v>
      </c>
      <c r="F92" s="197" t="s">
        <v>17</v>
      </c>
      <c r="G92" s="197"/>
      <c r="H92" s="197"/>
      <c r="I92" s="1530">
        <v>32500000</v>
      </c>
      <c r="J92" s="1530"/>
      <c r="K92" s="1530"/>
      <c r="L92" s="1530"/>
      <c r="M92" s="1530"/>
      <c r="N92" s="197"/>
      <c r="O92" s="197"/>
      <c r="P92" s="197"/>
      <c r="Q92" s="197"/>
      <c r="R92" s="1209" t="s">
        <v>584</v>
      </c>
      <c r="S92" s="1209"/>
      <c r="T92" s="1209"/>
      <c r="U92" s="1209"/>
      <c r="V92" s="1209"/>
      <c r="W92" s="1209"/>
      <c r="X92" s="1210"/>
      <c r="Z92" s="79">
        <f>V90/4</f>
        <v>32500000</v>
      </c>
    </row>
    <row r="93" spans="1:26">
      <c r="A93" s="233" t="s">
        <v>107</v>
      </c>
      <c r="B93" s="197"/>
      <c r="C93" s="197"/>
      <c r="D93" s="197"/>
      <c r="E93" s="197" t="s">
        <v>6</v>
      </c>
      <c r="F93" s="197" t="s">
        <v>17</v>
      </c>
      <c r="G93" s="197"/>
      <c r="H93" s="197"/>
      <c r="I93" s="1530">
        <v>32500000</v>
      </c>
      <c r="J93" s="1530"/>
      <c r="K93" s="1530"/>
      <c r="L93" s="1530"/>
      <c r="M93" s="1530"/>
      <c r="N93" s="197"/>
      <c r="O93" s="197"/>
      <c r="P93" s="197"/>
      <c r="Q93" s="197"/>
      <c r="R93" s="1209" t="s">
        <v>585</v>
      </c>
      <c r="S93" s="1209"/>
      <c r="T93" s="1209"/>
      <c r="U93" s="1209"/>
      <c r="V93" s="1209"/>
      <c r="W93" s="1209"/>
      <c r="X93" s="1210"/>
    </row>
    <row r="94" spans="1:26">
      <c r="A94" s="233" t="s">
        <v>108</v>
      </c>
      <c r="B94" s="197"/>
      <c r="C94" s="197"/>
      <c r="D94" s="197"/>
      <c r="E94" s="197" t="s">
        <v>6</v>
      </c>
      <c r="F94" s="197" t="s">
        <v>17</v>
      </c>
      <c r="G94" s="197"/>
      <c r="H94" s="197"/>
      <c r="I94" s="1530">
        <v>32500000</v>
      </c>
      <c r="J94" s="1530"/>
      <c r="K94" s="1530"/>
      <c r="L94" s="1530"/>
      <c r="M94" s="1530"/>
      <c r="N94" s="197"/>
      <c r="O94" s="197"/>
      <c r="P94" s="197"/>
      <c r="Q94" s="197"/>
      <c r="R94" s="197"/>
      <c r="S94" s="197"/>
      <c r="T94" s="1209"/>
      <c r="U94" s="1209"/>
      <c r="V94" s="1209"/>
      <c r="W94" s="1209"/>
      <c r="X94" s="234"/>
      <c r="Z94" s="332"/>
    </row>
    <row r="95" spans="1:26" ht="16.5">
      <c r="A95" s="233" t="s">
        <v>109</v>
      </c>
      <c r="B95" s="197"/>
      <c r="C95" s="197"/>
      <c r="D95" s="197"/>
      <c r="E95" s="197" t="s">
        <v>6</v>
      </c>
      <c r="F95" s="197" t="s">
        <v>17</v>
      </c>
      <c r="G95" s="197"/>
      <c r="H95" s="197"/>
      <c r="I95" s="1547">
        <v>32500000</v>
      </c>
      <c r="J95" s="1547"/>
      <c r="K95" s="1547"/>
      <c r="L95" s="1547"/>
      <c r="M95" s="1547"/>
      <c r="N95" s="197"/>
      <c r="O95" s="197"/>
      <c r="P95" s="197"/>
      <c r="Q95" s="197"/>
      <c r="R95" s="197"/>
      <c r="S95" s="197"/>
      <c r="T95" s="818"/>
      <c r="U95" s="818"/>
      <c r="V95" s="818"/>
      <c r="W95" s="818"/>
      <c r="X95" s="234"/>
    </row>
    <row r="96" spans="1:26">
      <c r="A96" s="233" t="s">
        <v>15</v>
      </c>
      <c r="B96" s="197"/>
      <c r="C96" s="197"/>
      <c r="D96" s="197"/>
      <c r="E96" s="197" t="s">
        <v>6</v>
      </c>
      <c r="F96" s="197" t="s">
        <v>17</v>
      </c>
      <c r="G96" s="197"/>
      <c r="H96" s="197"/>
      <c r="I96" s="1530">
        <f>SUM(I92:M95)</f>
        <v>130000000</v>
      </c>
      <c r="J96" s="1530"/>
      <c r="K96" s="1530"/>
      <c r="L96" s="1530"/>
      <c r="M96" s="1530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234"/>
    </row>
    <row r="97" spans="1:24">
      <c r="A97" s="233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357" t="s">
        <v>849</v>
      </c>
      <c r="S97" s="1357"/>
      <c r="T97" s="1357"/>
      <c r="U97" s="1357"/>
      <c r="V97" s="1357"/>
      <c r="W97" s="1357"/>
      <c r="X97" s="1358"/>
    </row>
    <row r="98" spans="1:24">
      <c r="A98" s="233"/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206"/>
      <c r="R98" s="1359" t="s">
        <v>914</v>
      </c>
      <c r="S98" s="1209"/>
      <c r="T98" s="1209"/>
      <c r="U98" s="1209"/>
      <c r="V98" s="1209"/>
      <c r="W98" s="1209"/>
      <c r="X98" s="1210"/>
    </row>
    <row r="99" spans="1:24">
      <c r="A99" s="1418" t="s">
        <v>1018</v>
      </c>
      <c r="B99" s="1400"/>
      <c r="C99" s="1400"/>
      <c r="D99" s="1400"/>
      <c r="E99" s="1400"/>
      <c r="F99" s="1400"/>
      <c r="G99" s="1400"/>
      <c r="H99" s="1400"/>
      <c r="I99" s="1400"/>
      <c r="J99" s="1400"/>
      <c r="K99" s="1400"/>
      <c r="L99" s="1400"/>
      <c r="M99" s="1400"/>
      <c r="N99" s="1400"/>
      <c r="O99" s="1400"/>
      <c r="P99" s="1400"/>
      <c r="Q99" s="206"/>
      <c r="R99" s="1564"/>
      <c r="S99" s="1473"/>
      <c r="T99" s="1473"/>
      <c r="U99" s="1473"/>
      <c r="V99" s="1473"/>
      <c r="W99" s="1473"/>
      <c r="X99" s="1481"/>
    </row>
    <row r="100" spans="1:24">
      <c r="A100" s="201">
        <v>1</v>
      </c>
      <c r="B100" s="202" t="s">
        <v>460</v>
      </c>
      <c r="C100" s="202"/>
      <c r="D100" s="202"/>
      <c r="E100" s="202"/>
      <c r="F100" s="202"/>
      <c r="G100" s="202"/>
      <c r="H100" s="202"/>
      <c r="I100" s="202"/>
      <c r="J100" s="202"/>
      <c r="K100" s="202" t="s">
        <v>193</v>
      </c>
      <c r="L100" s="202"/>
      <c r="M100" s="202"/>
      <c r="N100" s="202"/>
      <c r="O100" s="202"/>
      <c r="P100" s="202"/>
      <c r="Q100" s="203"/>
      <c r="R100" s="1456" t="s">
        <v>921</v>
      </c>
      <c r="S100" s="1209"/>
      <c r="T100" s="1209"/>
      <c r="U100" s="1209"/>
      <c r="V100" s="1209"/>
      <c r="W100" s="1209"/>
      <c r="X100" s="1210"/>
    </row>
    <row r="101" spans="1:24">
      <c r="A101" s="196"/>
      <c r="B101" s="197" t="s">
        <v>1019</v>
      </c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8"/>
      <c r="R101" s="562"/>
      <c r="S101" s="563"/>
      <c r="T101" s="563"/>
      <c r="U101" s="563"/>
      <c r="V101" s="563"/>
      <c r="W101" s="563"/>
      <c r="X101" s="564"/>
    </row>
    <row r="102" spans="1:24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8"/>
      <c r="R102" s="1208" t="s">
        <v>155</v>
      </c>
      <c r="S102" s="1209"/>
      <c r="T102" s="1209"/>
      <c r="U102" s="1209"/>
      <c r="V102" s="1209"/>
      <c r="W102" s="1209"/>
      <c r="X102" s="1210"/>
    </row>
    <row r="103" spans="1:24">
      <c r="A103" s="196">
        <v>2</v>
      </c>
      <c r="B103" s="197" t="s">
        <v>194</v>
      </c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 t="s">
        <v>195</v>
      </c>
      <c r="O103" s="197"/>
      <c r="P103" s="197"/>
      <c r="Q103" s="198"/>
      <c r="R103" s="1208" t="s">
        <v>114</v>
      </c>
      <c r="S103" s="1209"/>
      <c r="T103" s="1209"/>
      <c r="U103" s="1209"/>
      <c r="V103" s="1209"/>
      <c r="W103" s="1209"/>
      <c r="X103" s="1210"/>
    </row>
    <row r="104" spans="1:24">
      <c r="A104" s="93"/>
      <c r="B104" s="197" t="s">
        <v>1019</v>
      </c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8"/>
      <c r="R104" s="196"/>
      <c r="S104" s="197"/>
      <c r="T104" s="197"/>
      <c r="U104" s="197"/>
      <c r="V104" s="197"/>
      <c r="W104" s="197"/>
      <c r="X104" s="234"/>
    </row>
    <row r="105" spans="1:24">
      <c r="A105" s="196"/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8"/>
      <c r="R105" s="196"/>
      <c r="S105" s="197"/>
      <c r="T105" s="197"/>
      <c r="U105" s="197"/>
      <c r="V105" s="197"/>
      <c r="W105" s="197"/>
      <c r="X105" s="234"/>
    </row>
    <row r="106" spans="1:24">
      <c r="A106" s="196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8"/>
      <c r="R106" s="196"/>
      <c r="S106" s="197"/>
      <c r="T106" s="197"/>
      <c r="U106" s="197"/>
      <c r="V106" s="197"/>
      <c r="W106" s="197"/>
      <c r="X106" s="234"/>
    </row>
    <row r="107" spans="1:24">
      <c r="A107" s="196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8"/>
      <c r="R107" s="1427" t="s">
        <v>115</v>
      </c>
      <c r="S107" s="1357"/>
      <c r="T107" s="1357"/>
      <c r="U107" s="1357"/>
      <c r="V107" s="1357"/>
      <c r="W107" s="1357"/>
      <c r="X107" s="1358"/>
    </row>
    <row r="108" spans="1:24">
      <c r="A108" s="196"/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8"/>
      <c r="R108" s="1208" t="s">
        <v>116</v>
      </c>
      <c r="S108" s="1209"/>
      <c r="T108" s="1209"/>
      <c r="U108" s="1209"/>
      <c r="V108" s="1209"/>
      <c r="W108" s="1209"/>
      <c r="X108" s="1210"/>
    </row>
    <row r="109" spans="1:24" ht="15.75" thickBot="1">
      <c r="A109" s="325"/>
      <c r="B109" s="23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641"/>
      <c r="R109" s="325"/>
      <c r="S109" s="239"/>
      <c r="T109" s="239"/>
      <c r="U109" s="239"/>
      <c r="V109" s="239"/>
      <c r="W109" s="239"/>
      <c r="X109" s="326"/>
    </row>
    <row r="118" spans="15:15">
      <c r="O118" s="79"/>
    </row>
  </sheetData>
  <mergeCells count="129">
    <mergeCell ref="A5:V5"/>
    <mergeCell ref="A6:V6"/>
    <mergeCell ref="W3:X3"/>
    <mergeCell ref="W5:X5"/>
    <mergeCell ref="W4:X4"/>
    <mergeCell ref="V49:X49"/>
    <mergeCell ref="R87:S87"/>
    <mergeCell ref="R49:S49"/>
    <mergeCell ref="R103:X103"/>
    <mergeCell ref="V43:X43"/>
    <mergeCell ref="R32:S32"/>
    <mergeCell ref="T32:U32"/>
    <mergeCell ref="V32:X32"/>
    <mergeCell ref="V45:X45"/>
    <mergeCell ref="T45:U45"/>
    <mergeCell ref="R46:S46"/>
    <mergeCell ref="A90:U90"/>
    <mergeCell ref="V90:X90"/>
    <mergeCell ref="I92:M92"/>
    <mergeCell ref="T46:U46"/>
    <mergeCell ref="V46:X46"/>
    <mergeCell ref="R92:X92"/>
    <mergeCell ref="I93:M93"/>
    <mergeCell ref="I94:M94"/>
    <mergeCell ref="R107:X107"/>
    <mergeCell ref="T49:U49"/>
    <mergeCell ref="R108:X108"/>
    <mergeCell ref="R50:S50"/>
    <mergeCell ref="V50:X50"/>
    <mergeCell ref="T50:U50"/>
    <mergeCell ref="T51:U51"/>
    <mergeCell ref="V51:X51"/>
    <mergeCell ref="R51:S51"/>
    <mergeCell ref="V88:X88"/>
    <mergeCell ref="P53:S53"/>
    <mergeCell ref="T53:X53"/>
    <mergeCell ref="R100:X100"/>
    <mergeCell ref="R102:X102"/>
    <mergeCell ref="A99:P99"/>
    <mergeCell ref="R99:X99"/>
    <mergeCell ref="T87:U87"/>
    <mergeCell ref="V87:X87"/>
    <mergeCell ref="V81:X81"/>
    <mergeCell ref="V83:X83"/>
    <mergeCell ref="R93:X93"/>
    <mergeCell ref="T94:W94"/>
    <mergeCell ref="R98:X98"/>
    <mergeCell ref="R97:X97"/>
    <mergeCell ref="I95:M95"/>
    <mergeCell ref="I96:M96"/>
    <mergeCell ref="A53:O53"/>
    <mergeCell ref="R85:S85"/>
    <mergeCell ref="T85:U85"/>
    <mergeCell ref="V85:X85"/>
    <mergeCell ref="R83:S83"/>
    <mergeCell ref="T83:U83"/>
    <mergeCell ref="A30:L30"/>
    <mergeCell ref="V30:X30"/>
    <mergeCell ref="V31:X31"/>
    <mergeCell ref="T47:U47"/>
    <mergeCell ref="V47:X47"/>
    <mergeCell ref="R47:S47"/>
    <mergeCell ref="R45:S45"/>
    <mergeCell ref="V41:X41"/>
    <mergeCell ref="V33:X33"/>
    <mergeCell ref="R33:S33"/>
    <mergeCell ref="T33:U33"/>
    <mergeCell ref="R34:S34"/>
    <mergeCell ref="T34:U34"/>
    <mergeCell ref="V34:X34"/>
    <mergeCell ref="R36:S36"/>
    <mergeCell ref="T36:U36"/>
    <mergeCell ref="V36:X36"/>
    <mergeCell ref="T38:U38"/>
    <mergeCell ref="R38:S38"/>
    <mergeCell ref="V38:X38"/>
    <mergeCell ref="R39:S39"/>
    <mergeCell ref="T39:U39"/>
    <mergeCell ref="V39:X39"/>
    <mergeCell ref="M25:P25"/>
    <mergeCell ref="R25:S25"/>
    <mergeCell ref="T25:U25"/>
    <mergeCell ref="V25:X25"/>
    <mergeCell ref="A29:L29"/>
    <mergeCell ref="V29:X29"/>
    <mergeCell ref="A26:L26"/>
    <mergeCell ref="M26:P26"/>
    <mergeCell ref="V26:X26"/>
    <mergeCell ref="A25:L25"/>
    <mergeCell ref="A27:L27"/>
    <mergeCell ref="V27:X27"/>
    <mergeCell ref="A28:L28"/>
    <mergeCell ref="V28:X28"/>
    <mergeCell ref="A1:O2"/>
    <mergeCell ref="W1:X1"/>
    <mergeCell ref="W2:X2"/>
    <mergeCell ref="A3:O4"/>
    <mergeCell ref="P3:P4"/>
    <mergeCell ref="Q3:Q4"/>
    <mergeCell ref="R3:R4"/>
    <mergeCell ref="S3:S4"/>
    <mergeCell ref="T3:T4"/>
    <mergeCell ref="U3:U4"/>
    <mergeCell ref="V3:V4"/>
    <mergeCell ref="P1:P2"/>
    <mergeCell ref="Q1:Q2"/>
    <mergeCell ref="R1:R2"/>
    <mergeCell ref="S1:S2"/>
    <mergeCell ref="T1:T2"/>
    <mergeCell ref="U1:U2"/>
    <mergeCell ref="V1:V2"/>
    <mergeCell ref="A14:X14"/>
    <mergeCell ref="A15:F15"/>
    <mergeCell ref="I15:T15"/>
    <mergeCell ref="U15:X15"/>
    <mergeCell ref="U16:X16"/>
    <mergeCell ref="V17:X17"/>
    <mergeCell ref="U19:X19"/>
    <mergeCell ref="A21:X21"/>
    <mergeCell ref="A22:X22"/>
    <mergeCell ref="A23:L23"/>
    <mergeCell ref="M23:P24"/>
    <mergeCell ref="Q23:U23"/>
    <mergeCell ref="V23:X23"/>
    <mergeCell ref="A24:L24"/>
    <mergeCell ref="R24:S24"/>
    <mergeCell ref="T24:U24"/>
    <mergeCell ref="V24:X24"/>
    <mergeCell ref="U18:X18"/>
  </mergeCells>
  <pageMargins left="0.70866141732283472" right="0.70866141732283472" top="0.74803149606299213" bottom="0.74803149606299213" header="0.31496062992125984" footer="0.31496062992125984"/>
  <pageSetup paperSize="5" scale="80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Z74"/>
  <sheetViews>
    <sheetView topLeftCell="A76" workbookViewId="0">
      <selection activeCell="V55" sqref="V55"/>
    </sheetView>
  </sheetViews>
  <sheetFormatPr defaultRowHeight="15"/>
  <cols>
    <col min="1" max="1" width="3" customWidth="1"/>
    <col min="2" max="2" width="3.42578125" customWidth="1"/>
    <col min="3" max="3" width="1.42578125" customWidth="1"/>
    <col min="4" max="4" width="2" customWidth="1"/>
    <col min="5" max="5" width="3.5703125" customWidth="1"/>
    <col min="6" max="6" width="2.42578125" customWidth="1"/>
    <col min="7" max="7" width="2.5703125" customWidth="1"/>
    <col min="8" max="8" width="2.7109375" customWidth="1"/>
    <col min="9" max="9" width="2.28515625" customWidth="1"/>
    <col min="10" max="11" width="2.5703125" customWidth="1"/>
    <col min="12" max="12" width="4.5703125" customWidth="1"/>
    <col min="15" max="15" width="5.7109375" customWidth="1"/>
    <col min="16" max="16" width="5.5703125" customWidth="1"/>
    <col min="17" max="17" width="7.5703125" customWidth="1"/>
    <col min="18" max="18" width="5.85546875" customWidth="1"/>
    <col min="19" max="19" width="0.28515625" hidden="1" customWidth="1"/>
    <col min="20" max="20" width="5.42578125" customWidth="1"/>
    <col min="21" max="21" width="4.85546875" customWidth="1"/>
    <col min="22" max="22" width="6" customWidth="1"/>
    <col min="23" max="23" width="6.42578125" customWidth="1"/>
    <col min="24" max="24" width="10.28515625" customWidth="1"/>
    <col min="26" max="26" width="18.28515625" customWidth="1"/>
  </cols>
  <sheetData>
    <row r="1" spans="1:24" ht="15" customHeight="1">
      <c r="A1" s="1386" t="s">
        <v>0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8"/>
      <c r="P1" s="1281" t="s">
        <v>559</v>
      </c>
      <c r="Q1" s="1282">
        <v>3.02</v>
      </c>
      <c r="R1" s="1445" t="s">
        <v>157</v>
      </c>
      <c r="S1" s="1445" t="s">
        <v>157</v>
      </c>
      <c r="T1" s="1282" t="s">
        <v>330</v>
      </c>
      <c r="U1" s="1282" t="s">
        <v>158</v>
      </c>
      <c r="V1" s="1435" t="s">
        <v>159</v>
      </c>
      <c r="W1" s="1161"/>
      <c r="X1" s="1453"/>
    </row>
    <row r="2" spans="1:24" ht="15" customHeight="1">
      <c r="A2" s="1389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1"/>
      <c r="P2" s="1375"/>
      <c r="Q2" s="1376"/>
      <c r="R2" s="1376"/>
      <c r="S2" s="1377"/>
      <c r="T2" s="1376"/>
      <c r="U2" s="1376"/>
      <c r="V2" s="1374"/>
      <c r="W2" s="1164" t="s">
        <v>1</v>
      </c>
      <c r="X2" s="1393"/>
    </row>
    <row r="3" spans="1:24" ht="15" customHeight="1">
      <c r="A3" s="1379" t="s">
        <v>2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1"/>
      <c r="P3" s="1375"/>
      <c r="Q3" s="1376"/>
      <c r="R3" s="1377"/>
      <c r="S3" s="1377"/>
      <c r="T3" s="1376"/>
      <c r="U3" s="1376"/>
      <c r="V3" s="1374"/>
      <c r="W3" s="871"/>
      <c r="X3" s="872"/>
    </row>
    <row r="4" spans="1:24" ht="15" customHeight="1">
      <c r="A4" s="1382"/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4"/>
      <c r="P4" s="1284"/>
      <c r="Q4" s="1285"/>
      <c r="R4" s="1285"/>
      <c r="S4" s="1378"/>
      <c r="T4" s="1285"/>
      <c r="U4" s="1285"/>
      <c r="V4" s="1414"/>
      <c r="W4" s="1164" t="s">
        <v>1043</v>
      </c>
      <c r="X4" s="1393"/>
    </row>
    <row r="5" spans="1:24">
      <c r="A5" s="1515" t="s">
        <v>717</v>
      </c>
      <c r="B5" s="1516"/>
      <c r="C5" s="1516"/>
      <c r="D5" s="1516"/>
      <c r="E5" s="1516"/>
      <c r="F5" s="1516"/>
      <c r="G5" s="1516"/>
      <c r="H5" s="1516"/>
      <c r="I5" s="1516"/>
      <c r="J5" s="1516"/>
      <c r="K5" s="1516"/>
      <c r="L5" s="1516"/>
      <c r="M5" s="1516"/>
      <c r="N5" s="1516"/>
      <c r="O5" s="1516"/>
      <c r="P5" s="1516"/>
      <c r="Q5" s="1516"/>
      <c r="R5" s="1516"/>
      <c r="S5" s="1516"/>
      <c r="T5" s="1516"/>
      <c r="U5" s="1516"/>
      <c r="V5" s="1517"/>
      <c r="W5" s="852"/>
      <c r="X5" s="853"/>
    </row>
    <row r="6" spans="1:24">
      <c r="A6" s="1518" t="s">
        <v>527</v>
      </c>
      <c r="B6" s="1519"/>
      <c r="C6" s="1519"/>
      <c r="D6" s="1519"/>
      <c r="E6" s="1519"/>
      <c r="F6" s="1519"/>
      <c r="G6" s="1519"/>
      <c r="H6" s="1519"/>
      <c r="I6" s="1519"/>
      <c r="J6" s="1519"/>
      <c r="K6" s="1519"/>
      <c r="L6" s="1519"/>
      <c r="M6" s="1519"/>
      <c r="N6" s="1519"/>
      <c r="O6" s="1519"/>
      <c r="P6" s="1519"/>
      <c r="Q6" s="1519"/>
      <c r="R6" s="1519"/>
      <c r="S6" s="1519"/>
      <c r="T6" s="1519"/>
      <c r="U6" s="1519"/>
      <c r="V6" s="1520"/>
      <c r="W6" s="850"/>
      <c r="X6" s="851"/>
    </row>
    <row r="7" spans="1:24">
      <c r="A7" s="5" t="s">
        <v>5</v>
      </c>
      <c r="B7" s="195"/>
      <c r="C7" s="195"/>
      <c r="D7" s="195"/>
      <c r="E7" s="195"/>
      <c r="F7" s="195"/>
      <c r="G7" s="195"/>
      <c r="H7" s="195"/>
      <c r="I7" s="195"/>
      <c r="J7" s="195"/>
      <c r="K7" s="195" t="s">
        <v>6</v>
      </c>
      <c r="L7" s="195" t="s">
        <v>559</v>
      </c>
      <c r="M7" s="195"/>
      <c r="N7" s="195"/>
      <c r="O7" s="195"/>
      <c r="P7" s="330" t="s">
        <v>8</v>
      </c>
      <c r="Q7" s="330"/>
      <c r="R7" s="330"/>
      <c r="S7" s="330"/>
      <c r="T7" s="330"/>
      <c r="U7" s="330"/>
      <c r="V7" s="330"/>
      <c r="W7" s="195"/>
      <c r="X7" s="2"/>
    </row>
    <row r="8" spans="1:24">
      <c r="A8" s="5" t="s">
        <v>9</v>
      </c>
      <c r="B8" s="195"/>
      <c r="C8" s="195"/>
      <c r="D8" s="195"/>
      <c r="E8" s="195"/>
      <c r="F8" s="195"/>
      <c r="G8" s="195"/>
      <c r="H8" s="195"/>
      <c r="I8" s="195"/>
      <c r="J8" s="195"/>
      <c r="K8" s="195" t="s">
        <v>6</v>
      </c>
      <c r="L8" s="6" t="s">
        <v>529</v>
      </c>
      <c r="M8" s="6"/>
      <c r="N8" s="195"/>
      <c r="O8" s="195"/>
      <c r="P8" s="6" t="s">
        <v>11</v>
      </c>
      <c r="Q8" s="6"/>
      <c r="R8" s="6"/>
      <c r="S8" s="6"/>
      <c r="T8" s="6"/>
      <c r="U8" s="6"/>
      <c r="V8" s="6"/>
      <c r="W8" s="195"/>
      <c r="X8" s="2"/>
    </row>
    <row r="9" spans="1:24">
      <c r="A9" s="5" t="s">
        <v>162</v>
      </c>
      <c r="B9" s="195"/>
      <c r="C9" s="195"/>
      <c r="D9" s="195"/>
      <c r="E9" s="195"/>
      <c r="F9" s="195"/>
      <c r="G9" s="195"/>
      <c r="H9" s="195"/>
      <c r="I9" s="195"/>
      <c r="J9" s="195"/>
      <c r="K9" s="195" t="s">
        <v>6</v>
      </c>
      <c r="L9" s="195" t="s">
        <v>530</v>
      </c>
      <c r="M9" s="195"/>
      <c r="N9" s="195"/>
      <c r="O9" s="195"/>
      <c r="P9" s="6" t="s">
        <v>163</v>
      </c>
      <c r="Q9" s="6"/>
      <c r="R9" s="6"/>
      <c r="S9" s="6"/>
      <c r="T9" s="6"/>
      <c r="U9" s="6"/>
      <c r="V9" s="6"/>
      <c r="W9" s="195"/>
      <c r="X9" s="2"/>
    </row>
    <row r="10" spans="1:24">
      <c r="A10" s="5" t="s">
        <v>58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 t="s">
        <v>6</v>
      </c>
      <c r="L10" s="195" t="s">
        <v>621</v>
      </c>
      <c r="M10" s="195"/>
      <c r="N10" s="195"/>
      <c r="O10" s="195"/>
      <c r="P10" s="195" t="s">
        <v>331</v>
      </c>
      <c r="Q10" s="195"/>
      <c r="R10" s="195"/>
      <c r="S10" s="195"/>
      <c r="T10" s="195"/>
      <c r="U10" s="195"/>
      <c r="V10" s="195"/>
      <c r="W10" s="195"/>
      <c r="X10" s="2"/>
    </row>
    <row r="11" spans="1:24">
      <c r="A11" s="5" t="s">
        <v>165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 t="s">
        <v>6</v>
      </c>
      <c r="L11" s="195" t="s">
        <v>920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2"/>
    </row>
    <row r="12" spans="1:24">
      <c r="A12" s="5" t="s">
        <v>1021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 t="s">
        <v>6</v>
      </c>
      <c r="L12" s="195" t="s">
        <v>919</v>
      </c>
      <c r="M12" s="195"/>
      <c r="N12" s="195"/>
      <c r="O12" s="195"/>
      <c r="P12" s="195"/>
      <c r="Q12" s="45"/>
      <c r="R12" s="195"/>
      <c r="S12" s="195"/>
      <c r="T12" s="195"/>
      <c r="U12" s="195"/>
      <c r="V12" s="195"/>
      <c r="W12" s="195"/>
      <c r="X12" s="2"/>
    </row>
    <row r="13" spans="1:24">
      <c r="A13" s="5" t="s">
        <v>167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 t="s">
        <v>6</v>
      </c>
      <c r="L13" s="195" t="s">
        <v>68</v>
      </c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2"/>
    </row>
    <row r="14" spans="1:24">
      <c r="A14" s="1418" t="s">
        <v>260</v>
      </c>
      <c r="B14" s="1400"/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0"/>
      <c r="U14" s="1400"/>
      <c r="V14" s="1400"/>
      <c r="W14" s="1400"/>
      <c r="X14" s="1405"/>
    </row>
    <row r="15" spans="1:24">
      <c r="A15" s="1418" t="s">
        <v>169</v>
      </c>
      <c r="B15" s="1400"/>
      <c r="C15" s="1400"/>
      <c r="D15" s="1400"/>
      <c r="E15" s="1400"/>
      <c r="F15" s="1400"/>
      <c r="G15" s="270"/>
      <c r="H15" s="270"/>
      <c r="I15" s="1399" t="s">
        <v>170</v>
      </c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3"/>
      <c r="U15" s="1399" t="s">
        <v>171</v>
      </c>
      <c r="V15" s="1400"/>
      <c r="W15" s="1400"/>
      <c r="X15" s="1405"/>
    </row>
    <row r="16" spans="1:24">
      <c r="A16" s="80" t="s">
        <v>172</v>
      </c>
      <c r="B16" s="53"/>
      <c r="C16" s="53"/>
      <c r="D16" s="53"/>
      <c r="E16" s="53"/>
      <c r="F16" s="53"/>
      <c r="G16" s="53"/>
      <c r="H16" s="53"/>
      <c r="I16" s="27" t="s">
        <v>332</v>
      </c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59"/>
      <c r="U16" s="1719">
        <v>1</v>
      </c>
      <c r="V16" s="1720"/>
      <c r="W16" s="1720"/>
      <c r="X16" s="1721"/>
    </row>
    <row r="17" spans="1:24">
      <c r="A17" s="5" t="s">
        <v>174</v>
      </c>
      <c r="B17" s="195"/>
      <c r="C17" s="195"/>
      <c r="D17" s="195"/>
      <c r="E17" s="195"/>
      <c r="F17" s="195"/>
      <c r="G17" s="195"/>
      <c r="H17" s="195"/>
      <c r="I17" s="10" t="s">
        <v>175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36"/>
      <c r="U17" s="133" t="s">
        <v>154</v>
      </c>
      <c r="V17" s="1530">
        <f>V29</f>
        <v>10000000</v>
      </c>
      <c r="W17" s="1530"/>
      <c r="X17" s="1531"/>
    </row>
    <row r="18" spans="1:24">
      <c r="A18" s="5" t="s">
        <v>176</v>
      </c>
      <c r="B18" s="195"/>
      <c r="C18" s="195"/>
      <c r="D18" s="195"/>
      <c r="E18" s="195"/>
      <c r="F18" s="195"/>
      <c r="G18" s="195"/>
      <c r="H18" s="195"/>
      <c r="I18" s="10" t="s">
        <v>333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6"/>
      <c r="U18" s="1090" t="s">
        <v>178</v>
      </c>
      <c r="V18" s="1724"/>
      <c r="W18" s="1724"/>
      <c r="X18" s="1725"/>
    </row>
    <row r="19" spans="1:24">
      <c r="A19" s="68" t="s">
        <v>179</v>
      </c>
      <c r="B19" s="3"/>
      <c r="C19" s="3"/>
      <c r="D19" s="3"/>
      <c r="E19" s="3"/>
      <c r="F19" s="3"/>
      <c r="G19" s="3"/>
      <c r="H19" s="3"/>
      <c r="I19" s="24" t="s">
        <v>334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34"/>
      <c r="U19" s="1092" t="s">
        <v>181</v>
      </c>
      <c r="V19" s="1722"/>
      <c r="W19" s="1722"/>
      <c r="X19" s="1723"/>
    </row>
    <row r="20" spans="1:24">
      <c r="A20" s="5" t="s">
        <v>182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 t="s">
        <v>6</v>
      </c>
      <c r="M20" s="195" t="s">
        <v>920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2"/>
    </row>
    <row r="21" spans="1:24">
      <c r="A21" s="1321" t="s">
        <v>718</v>
      </c>
      <c r="B21" s="1322"/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3"/>
    </row>
    <row r="22" spans="1:24">
      <c r="A22" s="1164" t="s">
        <v>719</v>
      </c>
      <c r="B22" s="1165"/>
      <c r="C22" s="1165"/>
      <c r="D22" s="1165"/>
      <c r="E22" s="1165"/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  <c r="R22" s="1165"/>
      <c r="S22" s="1165"/>
      <c r="T22" s="1165"/>
      <c r="U22" s="1165"/>
      <c r="V22" s="1165"/>
      <c r="W22" s="1165"/>
      <c r="X22" s="1393"/>
    </row>
    <row r="23" spans="1:24">
      <c r="A23" s="1321" t="s">
        <v>13</v>
      </c>
      <c r="B23" s="1322"/>
      <c r="C23" s="1322"/>
      <c r="D23" s="1322"/>
      <c r="E23" s="1322"/>
      <c r="F23" s="1322"/>
      <c r="G23" s="1322"/>
      <c r="H23" s="1322"/>
      <c r="I23" s="1322"/>
      <c r="J23" s="1322"/>
      <c r="K23" s="1322"/>
      <c r="L23" s="1394"/>
      <c r="M23" s="1395" t="s">
        <v>14</v>
      </c>
      <c r="N23" s="1396"/>
      <c r="O23" s="1396"/>
      <c r="P23" s="1397"/>
      <c r="Q23" s="1401" t="s">
        <v>121</v>
      </c>
      <c r="R23" s="1322"/>
      <c r="S23" s="1322"/>
      <c r="T23" s="1322"/>
      <c r="U23" s="1322"/>
      <c r="V23" s="1401" t="s">
        <v>15</v>
      </c>
      <c r="W23" s="1322"/>
      <c r="X23" s="1323"/>
    </row>
    <row r="24" spans="1:24">
      <c r="A24" s="1164" t="s">
        <v>16</v>
      </c>
      <c r="B24" s="1165"/>
      <c r="C24" s="1165"/>
      <c r="D24" s="1165"/>
      <c r="E24" s="1165"/>
      <c r="F24" s="1165"/>
      <c r="G24" s="1165"/>
      <c r="H24" s="1165"/>
      <c r="I24" s="1165"/>
      <c r="J24" s="1165"/>
      <c r="K24" s="1165"/>
      <c r="L24" s="1166"/>
      <c r="M24" s="1398"/>
      <c r="N24" s="1173"/>
      <c r="O24" s="1173"/>
      <c r="P24" s="1174"/>
      <c r="Q24" s="82" t="s">
        <v>122</v>
      </c>
      <c r="R24" s="1399" t="s">
        <v>123</v>
      </c>
      <c r="S24" s="1403"/>
      <c r="T24" s="1399" t="s">
        <v>124</v>
      </c>
      <c r="U24" s="1403"/>
      <c r="V24" s="1436" t="s">
        <v>17</v>
      </c>
      <c r="W24" s="1165"/>
      <c r="X24" s="1393"/>
    </row>
    <row r="25" spans="1:24">
      <c r="A25" s="1418">
        <v>1</v>
      </c>
      <c r="B25" s="1400"/>
      <c r="C25" s="1400"/>
      <c r="D25" s="1400"/>
      <c r="E25" s="1400"/>
      <c r="F25" s="1400"/>
      <c r="G25" s="1400"/>
      <c r="H25" s="1400"/>
      <c r="I25" s="1400"/>
      <c r="J25" s="1400"/>
      <c r="K25" s="1400"/>
      <c r="L25" s="1403"/>
      <c r="M25" s="1399">
        <v>2</v>
      </c>
      <c r="N25" s="1400"/>
      <c r="O25" s="1400"/>
      <c r="P25" s="1403"/>
      <c r="Q25" s="90">
        <v>3</v>
      </c>
      <c r="R25" s="1399">
        <v>4</v>
      </c>
      <c r="S25" s="1403"/>
      <c r="T25" s="1399">
        <v>5</v>
      </c>
      <c r="U25" s="1403"/>
      <c r="V25" s="1399">
        <v>6</v>
      </c>
      <c r="W25" s="1400"/>
      <c r="X25" s="1405"/>
    </row>
    <row r="26" spans="1:24">
      <c r="A26" s="1548" t="s">
        <v>742</v>
      </c>
      <c r="B26" s="1549"/>
      <c r="C26" s="1549"/>
      <c r="D26" s="1549"/>
      <c r="E26" s="1549"/>
      <c r="F26" s="1549"/>
      <c r="G26" s="1549"/>
      <c r="H26" s="1549"/>
      <c r="I26" s="1549"/>
      <c r="J26" s="1549"/>
      <c r="K26" s="1549"/>
      <c r="L26" s="1550"/>
      <c r="M26" s="1420" t="s">
        <v>551</v>
      </c>
      <c r="N26" s="1420"/>
      <c r="O26" s="1420"/>
      <c r="P26" s="1420"/>
      <c r="Q26" s="363"/>
      <c r="R26" s="363"/>
      <c r="S26" s="357"/>
      <c r="T26" s="834"/>
      <c r="U26" s="833"/>
      <c r="V26" s="1581">
        <f>V27</f>
        <v>10000000</v>
      </c>
      <c r="W26" s="1322"/>
      <c r="X26" s="1323"/>
    </row>
    <row r="27" spans="1:24">
      <c r="A27" s="1467" t="s">
        <v>741</v>
      </c>
      <c r="B27" s="1355"/>
      <c r="C27" s="1355"/>
      <c r="D27" s="1355"/>
      <c r="E27" s="1355"/>
      <c r="F27" s="1355"/>
      <c r="G27" s="1355"/>
      <c r="H27" s="1355"/>
      <c r="I27" s="1355"/>
      <c r="J27" s="1355"/>
      <c r="K27" s="1355"/>
      <c r="L27" s="1356"/>
      <c r="M27" s="83" t="s">
        <v>23</v>
      </c>
      <c r="N27" s="84"/>
      <c r="O27" s="84"/>
      <c r="P27" s="85"/>
      <c r="Q27" s="83"/>
      <c r="R27" s="83"/>
      <c r="S27" s="85"/>
      <c r="T27" s="83"/>
      <c r="U27" s="85"/>
      <c r="V27" s="1468">
        <f>V28</f>
        <v>10000000</v>
      </c>
      <c r="W27" s="1424"/>
      <c r="X27" s="1425"/>
    </row>
    <row r="28" spans="1:24">
      <c r="A28" s="1354" t="s">
        <v>622</v>
      </c>
      <c r="B28" s="1355"/>
      <c r="C28" s="1355"/>
      <c r="D28" s="1355"/>
      <c r="E28" s="1355"/>
      <c r="F28" s="1355"/>
      <c r="G28" s="1355"/>
      <c r="H28" s="1355"/>
      <c r="I28" s="1355"/>
      <c r="J28" s="1355"/>
      <c r="K28" s="1355"/>
      <c r="L28" s="1355"/>
      <c r="M28" s="83" t="s">
        <v>216</v>
      </c>
      <c r="N28" s="84"/>
      <c r="O28" s="84"/>
      <c r="P28" s="85"/>
      <c r="Q28" s="83"/>
      <c r="R28" s="83"/>
      <c r="S28" s="85"/>
      <c r="T28" s="83"/>
      <c r="U28" s="85"/>
      <c r="V28" s="1468">
        <f>V29</f>
        <v>10000000</v>
      </c>
      <c r="W28" s="1424"/>
      <c r="X28" s="1425"/>
    </row>
    <row r="29" spans="1:24" ht="12.75" customHeight="1">
      <c r="A29" s="1354" t="s">
        <v>623</v>
      </c>
      <c r="B29" s="1355"/>
      <c r="C29" s="1355"/>
      <c r="D29" s="1355"/>
      <c r="E29" s="1355"/>
      <c r="F29" s="1355"/>
      <c r="G29" s="1355"/>
      <c r="H29" s="1355"/>
      <c r="I29" s="1355"/>
      <c r="J29" s="1355"/>
      <c r="K29" s="1355"/>
      <c r="L29" s="1355"/>
      <c r="M29" s="83" t="s">
        <v>326</v>
      </c>
      <c r="N29" s="84"/>
      <c r="O29" s="84"/>
      <c r="P29" s="85"/>
      <c r="Q29" s="83"/>
      <c r="R29" s="83"/>
      <c r="S29" s="85"/>
      <c r="T29" s="83"/>
      <c r="U29" s="85"/>
      <c r="V29" s="1468">
        <f>V30</f>
        <v>10000000</v>
      </c>
      <c r="W29" s="1424"/>
      <c r="X29" s="1425"/>
    </row>
    <row r="30" spans="1:24" ht="25.5" customHeight="1">
      <c r="A30" s="1726" t="s">
        <v>624</v>
      </c>
      <c r="B30" s="1727"/>
      <c r="C30" s="1727"/>
      <c r="D30" s="1727"/>
      <c r="E30" s="1727"/>
      <c r="F30" s="1727"/>
      <c r="G30" s="1727"/>
      <c r="H30" s="1727"/>
      <c r="I30" s="1727"/>
      <c r="J30" s="1727"/>
      <c r="K30" s="1727"/>
      <c r="L30" s="1728"/>
      <c r="M30" s="1729" t="s">
        <v>335</v>
      </c>
      <c r="N30" s="1730"/>
      <c r="O30" s="1730"/>
      <c r="P30" s="1731"/>
      <c r="Q30" s="35"/>
      <c r="R30" s="35"/>
      <c r="S30" s="36"/>
      <c r="T30" s="35"/>
      <c r="U30" s="36"/>
      <c r="V30" s="1732">
        <f>V31+V44</f>
        <v>10000000</v>
      </c>
      <c r="W30" s="1733"/>
      <c r="X30" s="1734"/>
    </row>
    <row r="31" spans="1:24" ht="12.75" customHeight="1">
      <c r="A31" s="574"/>
      <c r="B31" s="575"/>
      <c r="C31" s="575"/>
      <c r="D31" s="575"/>
      <c r="E31" s="575"/>
      <c r="F31" s="575"/>
      <c r="G31" s="575"/>
      <c r="H31" s="575"/>
      <c r="I31" s="575"/>
      <c r="J31" s="575"/>
      <c r="K31" s="575"/>
      <c r="L31" s="576"/>
      <c r="M31" s="1729" t="s">
        <v>479</v>
      </c>
      <c r="N31" s="1730"/>
      <c r="O31" s="1730"/>
      <c r="P31" s="1731"/>
      <c r="Q31" s="551"/>
      <c r="R31" s="1147"/>
      <c r="S31" s="1148"/>
      <c r="T31" s="1349"/>
      <c r="U31" s="1350"/>
      <c r="V31" s="1735">
        <f>SUM(V34:X41)</f>
        <v>6280000</v>
      </c>
      <c r="W31" s="1736"/>
      <c r="X31" s="1737"/>
    </row>
    <row r="32" spans="1:24" ht="14.25" customHeight="1">
      <c r="A32" s="574"/>
      <c r="B32" s="575"/>
      <c r="C32" s="575"/>
      <c r="D32" s="575"/>
      <c r="E32" s="575"/>
      <c r="F32" s="575"/>
      <c r="G32" s="575"/>
      <c r="H32" s="575"/>
      <c r="I32" s="575"/>
      <c r="J32" s="575"/>
      <c r="K32" s="575"/>
      <c r="L32" s="576"/>
      <c r="M32" s="35" t="s">
        <v>993</v>
      </c>
      <c r="N32" s="195"/>
      <c r="O32" s="195"/>
      <c r="P32" s="36"/>
      <c r="Q32" s="551"/>
      <c r="R32" s="1147"/>
      <c r="S32" s="1148"/>
      <c r="T32" s="1349"/>
      <c r="U32" s="1350"/>
      <c r="V32" s="1738"/>
      <c r="W32" s="1667"/>
      <c r="X32" s="1739"/>
    </row>
    <row r="33" spans="1:26" ht="14.25" customHeight="1">
      <c r="A33" s="574"/>
      <c r="B33" s="575"/>
      <c r="C33" s="575"/>
      <c r="D33" s="575"/>
      <c r="E33" s="575"/>
      <c r="F33" s="575"/>
      <c r="G33" s="575"/>
      <c r="H33" s="575"/>
      <c r="I33" s="575"/>
      <c r="J33" s="575"/>
      <c r="K33" s="575"/>
      <c r="L33" s="576"/>
      <c r="M33" s="63" t="s">
        <v>721</v>
      </c>
      <c r="N33" s="195"/>
      <c r="O33" s="195"/>
      <c r="P33" s="36"/>
      <c r="Q33" s="551"/>
      <c r="R33" s="1147"/>
      <c r="S33" s="1148"/>
      <c r="T33" s="1349"/>
      <c r="U33" s="1350"/>
      <c r="V33" s="1738"/>
      <c r="W33" s="1667"/>
      <c r="X33" s="1739"/>
    </row>
    <row r="34" spans="1:26" ht="13.5" customHeight="1">
      <c r="A34" s="574"/>
      <c r="B34" s="575"/>
      <c r="C34" s="575"/>
      <c r="D34" s="575"/>
      <c r="E34" s="575"/>
      <c r="F34" s="575"/>
      <c r="G34" s="575"/>
      <c r="H34" s="575"/>
      <c r="I34" s="575"/>
      <c r="J34" s="575"/>
      <c r="K34" s="575"/>
      <c r="L34" s="576"/>
      <c r="M34" s="63"/>
      <c r="N34" s="195" t="s">
        <v>997</v>
      </c>
      <c r="O34" s="195"/>
      <c r="P34" s="36"/>
      <c r="Q34" s="551">
        <v>5</v>
      </c>
      <c r="R34" s="1147" t="s">
        <v>328</v>
      </c>
      <c r="S34" s="1148"/>
      <c r="T34" s="1349">
        <v>200000</v>
      </c>
      <c r="U34" s="1350"/>
      <c r="V34" s="1738">
        <f>Q34*T34</f>
        <v>1000000</v>
      </c>
      <c r="W34" s="1667"/>
      <c r="X34" s="1739"/>
    </row>
    <row r="35" spans="1:26" ht="17.25" customHeight="1">
      <c r="A35" s="574"/>
      <c r="B35" s="575"/>
      <c r="C35" s="575"/>
      <c r="D35" s="575"/>
      <c r="E35" s="575"/>
      <c r="F35" s="575"/>
      <c r="G35" s="575"/>
      <c r="H35" s="575"/>
      <c r="I35" s="575"/>
      <c r="J35" s="575"/>
      <c r="K35" s="575"/>
      <c r="L35" s="576"/>
      <c r="M35" s="63" t="s">
        <v>625</v>
      </c>
      <c r="N35" s="195"/>
      <c r="O35" s="195"/>
      <c r="P35" s="36"/>
      <c r="Q35" s="551"/>
      <c r="R35" s="1147"/>
      <c r="S35" s="1148"/>
      <c r="T35" s="1349"/>
      <c r="U35" s="1350"/>
      <c r="V35" s="1598"/>
      <c r="W35" s="1422"/>
      <c r="X35" s="1423"/>
    </row>
    <row r="36" spans="1:26" ht="12.75" customHeight="1">
      <c r="A36" s="574"/>
      <c r="B36" s="575"/>
      <c r="C36" s="575"/>
      <c r="D36" s="575"/>
      <c r="E36" s="575"/>
      <c r="F36" s="575"/>
      <c r="G36" s="575"/>
      <c r="H36" s="575"/>
      <c r="I36" s="575"/>
      <c r="J36" s="575"/>
      <c r="K36" s="575"/>
      <c r="L36" s="576"/>
      <c r="M36" s="63"/>
      <c r="N36" s="195" t="s">
        <v>1031</v>
      </c>
      <c r="O36" s="195"/>
      <c r="P36" s="36"/>
      <c r="Q36" s="551">
        <v>9</v>
      </c>
      <c r="R36" s="1147" t="s">
        <v>1030</v>
      </c>
      <c r="S36" s="1148"/>
      <c r="T36" s="1349">
        <v>170000</v>
      </c>
      <c r="U36" s="1350"/>
      <c r="V36" s="1598">
        <f>Q36*T36</f>
        <v>1530000</v>
      </c>
      <c r="W36" s="1422"/>
      <c r="X36" s="1423"/>
      <c r="Z36" s="78">
        <f>13200000-V30</f>
        <v>3200000</v>
      </c>
    </row>
    <row r="37" spans="1:26" ht="12.75" customHeight="1">
      <c r="A37" s="574"/>
      <c r="B37" s="575"/>
      <c r="C37" s="575"/>
      <c r="D37" s="575"/>
      <c r="E37" s="575"/>
      <c r="F37" s="575"/>
      <c r="G37" s="575"/>
      <c r="H37" s="575"/>
      <c r="I37" s="575"/>
      <c r="J37" s="575"/>
      <c r="K37" s="575"/>
      <c r="L37" s="576"/>
      <c r="M37" s="63" t="s">
        <v>994</v>
      </c>
      <c r="N37" s="195"/>
      <c r="O37" s="195"/>
      <c r="P37" s="36"/>
      <c r="Q37" s="551"/>
      <c r="R37" s="551"/>
      <c r="S37" s="554"/>
      <c r="T37" s="827"/>
      <c r="U37" s="828"/>
      <c r="V37" s="570"/>
      <c r="W37" s="557"/>
      <c r="X37" s="558"/>
    </row>
    <row r="38" spans="1:26" ht="12.75" customHeight="1">
      <c r="A38" s="574"/>
      <c r="B38" s="575"/>
      <c r="C38" s="575"/>
      <c r="D38" s="575"/>
      <c r="E38" s="575"/>
      <c r="F38" s="575"/>
      <c r="G38" s="575"/>
      <c r="H38" s="575"/>
      <c r="I38" s="575"/>
      <c r="J38" s="575"/>
      <c r="K38" s="575"/>
      <c r="L38" s="576"/>
      <c r="M38" s="63"/>
      <c r="N38" s="195" t="s">
        <v>1032</v>
      </c>
      <c r="O38" s="195"/>
      <c r="P38" s="36"/>
      <c r="Q38" s="551">
        <v>15</v>
      </c>
      <c r="R38" s="1147" t="s">
        <v>328</v>
      </c>
      <c r="S38" s="1148"/>
      <c r="T38" s="1349">
        <v>130000</v>
      </c>
      <c r="U38" s="1350"/>
      <c r="V38" s="1598">
        <f>Q38*T38</f>
        <v>1950000</v>
      </c>
      <c r="W38" s="1422"/>
      <c r="X38" s="1423"/>
      <c r="Z38" s="78"/>
    </row>
    <row r="39" spans="1:26" ht="12.75" customHeight="1">
      <c r="A39" s="574"/>
      <c r="B39" s="575"/>
      <c r="C39" s="575"/>
      <c r="D39" s="575"/>
      <c r="E39" s="575"/>
      <c r="F39" s="575"/>
      <c r="G39" s="575"/>
      <c r="H39" s="575"/>
      <c r="I39" s="575"/>
      <c r="J39" s="575"/>
      <c r="K39" s="575"/>
      <c r="L39" s="576"/>
      <c r="M39" s="63" t="s">
        <v>636</v>
      </c>
      <c r="N39" s="195"/>
      <c r="O39" s="195"/>
      <c r="P39" s="36"/>
      <c r="Q39" s="35"/>
      <c r="R39" s="35"/>
      <c r="S39" s="36"/>
      <c r="T39" s="35"/>
      <c r="U39" s="36"/>
      <c r="V39" s="35"/>
      <c r="W39" s="195"/>
      <c r="X39" s="2"/>
    </row>
    <row r="40" spans="1:26" ht="12.75" customHeight="1">
      <c r="A40" s="574"/>
      <c r="B40" s="575"/>
      <c r="C40" s="575"/>
      <c r="D40" s="575"/>
      <c r="E40" s="575"/>
      <c r="F40" s="575"/>
      <c r="G40" s="575"/>
      <c r="H40" s="575"/>
      <c r="I40" s="575"/>
      <c r="J40" s="575"/>
      <c r="K40" s="575"/>
      <c r="L40" s="576"/>
      <c r="M40" s="35"/>
      <c r="N40" s="195" t="s">
        <v>996</v>
      </c>
      <c r="O40" s="195"/>
      <c r="P40" s="36"/>
      <c r="Q40" s="551">
        <v>8</v>
      </c>
      <c r="R40" s="1147" t="s">
        <v>328</v>
      </c>
      <c r="S40" s="1148"/>
      <c r="T40" s="1349">
        <v>100000</v>
      </c>
      <c r="U40" s="1350"/>
      <c r="V40" s="1738">
        <f>Q40*T40</f>
        <v>800000</v>
      </c>
      <c r="W40" s="1667"/>
      <c r="X40" s="1739"/>
    </row>
    <row r="41" spans="1:26" ht="12.75" customHeight="1">
      <c r="A41" s="574"/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6"/>
      <c r="M41" s="63" t="s">
        <v>634</v>
      </c>
      <c r="N41" s="195"/>
      <c r="O41" s="195"/>
      <c r="P41" s="36"/>
      <c r="Q41" s="551">
        <v>10</v>
      </c>
      <c r="R41" s="1147" t="s">
        <v>328</v>
      </c>
      <c r="S41" s="1148"/>
      <c r="T41" s="1349">
        <v>100000</v>
      </c>
      <c r="U41" s="1350"/>
      <c r="V41" s="1738">
        <f>Q41*T41</f>
        <v>1000000</v>
      </c>
      <c r="W41" s="1667"/>
      <c r="X41" s="1739"/>
    </row>
    <row r="42" spans="1:26" ht="12.75" customHeight="1">
      <c r="A42" s="574"/>
      <c r="B42" s="575"/>
      <c r="C42" s="575"/>
      <c r="D42" s="575"/>
      <c r="E42" s="575"/>
      <c r="F42" s="575"/>
      <c r="G42" s="575"/>
      <c r="H42" s="575"/>
      <c r="I42" s="575"/>
      <c r="J42" s="575"/>
      <c r="K42" s="575"/>
      <c r="L42" s="576"/>
      <c r="M42" s="571"/>
      <c r="N42" s="572"/>
      <c r="O42" s="572"/>
      <c r="P42" s="573"/>
      <c r="Q42" s="35"/>
      <c r="R42" s="35"/>
      <c r="S42" s="36"/>
      <c r="T42" s="35"/>
      <c r="U42" s="36"/>
      <c r="V42" s="577"/>
      <c r="W42" s="578"/>
      <c r="X42" s="579"/>
    </row>
    <row r="43" spans="1:26" ht="16.5" customHeight="1">
      <c r="A43" s="134"/>
      <c r="B43" s="135"/>
      <c r="C43" s="136"/>
      <c r="D43" s="135"/>
      <c r="E43" s="135"/>
      <c r="F43" s="135"/>
      <c r="G43" s="137"/>
      <c r="H43" s="137"/>
      <c r="I43" s="136"/>
      <c r="J43" s="136"/>
      <c r="K43" s="135"/>
      <c r="L43" s="138"/>
      <c r="M43" s="1729" t="s">
        <v>479</v>
      </c>
      <c r="N43" s="1730"/>
      <c r="O43" s="1730"/>
      <c r="P43" s="1731"/>
      <c r="Q43" s="269"/>
      <c r="R43" s="1147"/>
      <c r="S43" s="1148"/>
      <c r="T43" s="1349"/>
      <c r="U43" s="1350"/>
      <c r="V43" s="1738"/>
      <c r="W43" s="1667"/>
      <c r="X43" s="1739"/>
    </row>
    <row r="44" spans="1:26">
      <c r="A44" s="5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36"/>
      <c r="M44" s="35" t="s">
        <v>480</v>
      </c>
      <c r="N44" s="195"/>
      <c r="O44" s="195"/>
      <c r="P44" s="36"/>
      <c r="Q44" s="269"/>
      <c r="R44" s="1147"/>
      <c r="S44" s="1148"/>
      <c r="T44" s="1349"/>
      <c r="U44" s="1350"/>
      <c r="V44" s="1735">
        <f>SUM(V46:X54)</f>
        <v>3720000</v>
      </c>
      <c r="W44" s="1736"/>
      <c r="X44" s="1737"/>
    </row>
    <row r="45" spans="1:26">
      <c r="A45" s="5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36"/>
      <c r="M45" s="63" t="s">
        <v>721</v>
      </c>
      <c r="N45" s="195"/>
      <c r="O45" s="195"/>
      <c r="P45" s="36"/>
      <c r="Q45" s="269"/>
      <c r="R45" s="1147"/>
      <c r="S45" s="1148"/>
      <c r="T45" s="1349"/>
      <c r="U45" s="1350"/>
      <c r="V45" s="1738"/>
      <c r="W45" s="1667"/>
      <c r="X45" s="1739"/>
    </row>
    <row r="46" spans="1:26">
      <c r="A46" s="5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36"/>
      <c r="M46" s="63"/>
      <c r="N46" s="195" t="s">
        <v>998</v>
      </c>
      <c r="O46" s="195"/>
      <c r="P46" s="36"/>
      <c r="Q46" s="269">
        <v>5</v>
      </c>
      <c r="R46" s="1147" t="s">
        <v>328</v>
      </c>
      <c r="S46" s="1148"/>
      <c r="T46" s="1349">
        <v>150000</v>
      </c>
      <c r="U46" s="1350"/>
      <c r="V46" s="1738">
        <f>Q46*T46</f>
        <v>750000</v>
      </c>
      <c r="W46" s="1667"/>
      <c r="X46" s="1739"/>
    </row>
    <row r="47" spans="1:26">
      <c r="A47" s="5"/>
      <c r="B47" s="61"/>
      <c r="C47" s="45"/>
      <c r="D47" s="61"/>
      <c r="E47" s="61"/>
      <c r="F47" s="61"/>
      <c r="G47" s="61"/>
      <c r="H47" s="61"/>
      <c r="I47" s="45"/>
      <c r="J47" s="45"/>
      <c r="K47" s="57"/>
      <c r="L47" s="62"/>
      <c r="M47" s="63" t="s">
        <v>625</v>
      </c>
      <c r="N47" s="195"/>
      <c r="O47" s="195"/>
      <c r="P47" s="36"/>
      <c r="Q47" s="269"/>
      <c r="R47" s="1147"/>
      <c r="S47" s="1148"/>
      <c r="T47" s="1349"/>
      <c r="U47" s="1350"/>
      <c r="V47" s="1598"/>
      <c r="W47" s="1422"/>
      <c r="X47" s="1423"/>
    </row>
    <row r="48" spans="1:26">
      <c r="A48" s="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36"/>
      <c r="M48" s="63"/>
      <c r="N48" s="195" t="s">
        <v>995</v>
      </c>
      <c r="O48" s="195"/>
      <c r="P48" s="36"/>
      <c r="Q48" s="269">
        <v>12</v>
      </c>
      <c r="R48" s="1147" t="s">
        <v>1030</v>
      </c>
      <c r="S48" s="1148"/>
      <c r="T48" s="1349">
        <v>120000</v>
      </c>
      <c r="U48" s="1350"/>
      <c r="V48" s="1598">
        <f>Q48*T48</f>
        <v>1440000</v>
      </c>
      <c r="W48" s="1422"/>
      <c r="X48" s="1423"/>
    </row>
    <row r="49" spans="1:26">
      <c r="A49" s="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36"/>
      <c r="M49" s="63" t="s">
        <v>994</v>
      </c>
      <c r="N49" s="195"/>
      <c r="O49" s="195"/>
      <c r="P49" s="36"/>
      <c r="Q49" s="551"/>
      <c r="R49" s="551"/>
      <c r="S49" s="554"/>
      <c r="T49" s="827"/>
      <c r="U49" s="828"/>
      <c r="V49" s="570"/>
      <c r="W49" s="557"/>
      <c r="X49" s="558"/>
    </row>
    <row r="50" spans="1:26">
      <c r="A50" s="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36"/>
      <c r="M50" s="63"/>
      <c r="N50" s="195" t="s">
        <v>1033</v>
      </c>
      <c r="O50" s="195"/>
      <c r="P50" s="36"/>
      <c r="Q50" s="551">
        <v>6</v>
      </c>
      <c r="R50" s="1147" t="s">
        <v>1030</v>
      </c>
      <c r="S50" s="1148"/>
      <c r="T50" s="1349">
        <v>100000</v>
      </c>
      <c r="U50" s="1350"/>
      <c r="V50" s="1598">
        <f>Q50*T50</f>
        <v>600000</v>
      </c>
      <c r="W50" s="1422"/>
      <c r="X50" s="1423"/>
    </row>
    <row r="51" spans="1:26">
      <c r="A51" s="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36"/>
      <c r="M51" s="63" t="s">
        <v>636</v>
      </c>
      <c r="N51" s="195"/>
      <c r="O51" s="195"/>
      <c r="P51" s="36"/>
      <c r="Q51" s="35"/>
      <c r="R51" s="35"/>
      <c r="S51" s="36"/>
      <c r="T51" s="35"/>
      <c r="U51" s="36"/>
      <c r="V51" s="35"/>
      <c r="W51" s="195"/>
      <c r="X51" s="2"/>
    </row>
    <row r="52" spans="1:26">
      <c r="A52" s="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36"/>
      <c r="M52" s="35"/>
      <c r="N52" s="195" t="s">
        <v>998</v>
      </c>
      <c r="O52" s="195"/>
      <c r="P52" s="36"/>
      <c r="Q52" s="269">
        <v>5</v>
      </c>
      <c r="R52" s="1147" t="s">
        <v>328</v>
      </c>
      <c r="S52" s="1148"/>
      <c r="T52" s="1349">
        <v>70000</v>
      </c>
      <c r="U52" s="1350"/>
      <c r="V52" s="1738">
        <f>Q52*T52</f>
        <v>350000</v>
      </c>
      <c r="W52" s="1667"/>
      <c r="X52" s="1739"/>
    </row>
    <row r="53" spans="1:26">
      <c r="A53" s="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36"/>
      <c r="M53" s="63" t="s">
        <v>634</v>
      </c>
      <c r="N53" s="195"/>
      <c r="O53" s="195"/>
      <c r="P53" s="36"/>
      <c r="Q53" s="321">
        <v>8</v>
      </c>
      <c r="R53" s="1147" t="s">
        <v>328</v>
      </c>
      <c r="S53" s="1148"/>
      <c r="T53" s="1349">
        <v>70000</v>
      </c>
      <c r="U53" s="1350"/>
      <c r="V53" s="1738">
        <f>Q53*T53</f>
        <v>560000</v>
      </c>
      <c r="W53" s="1667"/>
      <c r="X53" s="1739"/>
    </row>
    <row r="54" spans="1:26">
      <c r="A54" s="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36"/>
      <c r="M54" s="63" t="s">
        <v>1005</v>
      </c>
      <c r="N54" s="195"/>
      <c r="O54" s="195"/>
      <c r="P54" s="36"/>
      <c r="Q54" s="817"/>
      <c r="R54" s="817"/>
      <c r="S54" s="36"/>
      <c r="T54" s="1349"/>
      <c r="U54" s="1350"/>
      <c r="V54" s="1738">
        <v>20000</v>
      </c>
      <c r="W54" s="1667"/>
      <c r="X54" s="1739"/>
    </row>
    <row r="55" spans="1:26">
      <c r="A55" s="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36"/>
      <c r="M55" s="35"/>
      <c r="N55" s="195"/>
      <c r="O55" s="195"/>
      <c r="P55" s="36"/>
      <c r="Q55" s="35"/>
      <c r="R55" s="35"/>
      <c r="S55" s="36"/>
      <c r="T55" s="33"/>
      <c r="U55" s="34"/>
      <c r="V55" s="35"/>
      <c r="W55" s="195"/>
      <c r="X55" s="2"/>
    </row>
    <row r="56" spans="1:26">
      <c r="A56" s="1150" t="s">
        <v>110</v>
      </c>
      <c r="B56" s="1151"/>
      <c r="C56" s="1151"/>
      <c r="D56" s="1151"/>
      <c r="E56" s="1151"/>
      <c r="F56" s="1151"/>
      <c r="G56" s="1151"/>
      <c r="H56" s="1151"/>
      <c r="I56" s="1151"/>
      <c r="J56" s="1151"/>
      <c r="K56" s="1151"/>
      <c r="L56" s="1151"/>
      <c r="M56" s="1151"/>
      <c r="N56" s="1151"/>
      <c r="O56" s="1151"/>
      <c r="P56" s="1151"/>
      <c r="Q56" s="1151"/>
      <c r="R56" s="1151"/>
      <c r="S56" s="1151"/>
      <c r="T56" s="1151"/>
      <c r="U56" s="1152"/>
      <c r="V56" s="1595">
        <f>V31+V44</f>
        <v>10000000</v>
      </c>
      <c r="W56" s="1596"/>
      <c r="X56" s="1597"/>
    </row>
    <row r="57" spans="1:26" ht="20.25" customHeight="1" thickBot="1">
      <c r="A57" s="845" t="s">
        <v>1035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202"/>
      <c r="S57" s="202"/>
      <c r="T57" s="202"/>
      <c r="U57" s="202"/>
      <c r="V57" s="202"/>
      <c r="W57" s="202"/>
      <c r="X57" s="237"/>
    </row>
    <row r="58" spans="1:26">
      <c r="A58" s="5" t="s">
        <v>106</v>
      </c>
      <c r="B58" s="195"/>
      <c r="C58" s="195"/>
      <c r="D58" s="195"/>
      <c r="E58" s="11" t="s">
        <v>17</v>
      </c>
      <c r="F58" s="1422">
        <v>2500000</v>
      </c>
      <c r="G58" s="1422"/>
      <c r="H58" s="1422"/>
      <c r="I58" s="1422"/>
      <c r="J58" s="1422"/>
      <c r="K58" s="1422"/>
      <c r="L58" s="1422"/>
      <c r="M58" s="195"/>
      <c r="N58" s="195"/>
      <c r="O58" s="195"/>
      <c r="P58" s="195"/>
      <c r="Q58" s="195"/>
      <c r="R58" s="1206" t="s">
        <v>584</v>
      </c>
      <c r="S58" s="1206"/>
      <c r="T58" s="1206"/>
      <c r="U58" s="1206"/>
      <c r="V58" s="1206"/>
      <c r="W58" s="1206"/>
      <c r="X58" s="1207"/>
      <c r="Z58" s="79"/>
    </row>
    <row r="59" spans="1:26">
      <c r="A59" s="5" t="s">
        <v>107</v>
      </c>
      <c r="B59" s="195"/>
      <c r="C59" s="195"/>
      <c r="D59" s="195"/>
      <c r="E59" s="11" t="s">
        <v>17</v>
      </c>
      <c r="F59" s="1422">
        <v>2500000</v>
      </c>
      <c r="G59" s="1422"/>
      <c r="H59" s="1422"/>
      <c r="I59" s="1422"/>
      <c r="J59" s="1422"/>
      <c r="K59" s="1422"/>
      <c r="L59" s="1422"/>
      <c r="M59" s="195"/>
      <c r="N59" s="195"/>
      <c r="O59" s="195"/>
      <c r="P59" s="195"/>
      <c r="Q59" s="195"/>
      <c r="R59" s="1209" t="s">
        <v>585</v>
      </c>
      <c r="S59" s="1209"/>
      <c r="T59" s="1209"/>
      <c r="U59" s="1209"/>
      <c r="V59" s="1209"/>
      <c r="W59" s="1209"/>
      <c r="X59" s="1210"/>
      <c r="Z59" s="79"/>
    </row>
    <row r="60" spans="1:26">
      <c r="A60" s="5" t="s">
        <v>108</v>
      </c>
      <c r="B60" s="195"/>
      <c r="C60" s="195"/>
      <c r="D60" s="195"/>
      <c r="E60" s="11" t="s">
        <v>17</v>
      </c>
      <c r="F60" s="1422">
        <v>2500000</v>
      </c>
      <c r="G60" s="1422"/>
      <c r="H60" s="1422"/>
      <c r="I60" s="1422"/>
      <c r="J60" s="1422"/>
      <c r="K60" s="1422"/>
      <c r="L60" s="1422"/>
      <c r="M60" s="195"/>
      <c r="N60" s="195"/>
      <c r="O60" s="195"/>
      <c r="P60" s="195"/>
      <c r="Q60" s="195"/>
      <c r="R60" s="197"/>
      <c r="S60" s="197"/>
      <c r="T60" s="1209"/>
      <c r="U60" s="1209"/>
      <c r="V60" s="1209"/>
      <c r="W60" s="1209"/>
      <c r="X60" s="234"/>
    </row>
    <row r="61" spans="1:26" ht="16.5">
      <c r="A61" s="5" t="s">
        <v>109</v>
      </c>
      <c r="B61" s="195"/>
      <c r="C61" s="195"/>
      <c r="D61" s="195"/>
      <c r="E61" s="11" t="s">
        <v>17</v>
      </c>
      <c r="F61" s="1547">
        <v>2500000</v>
      </c>
      <c r="G61" s="1547"/>
      <c r="H61" s="1547"/>
      <c r="I61" s="1547"/>
      <c r="J61" s="1547"/>
      <c r="K61" s="1547"/>
      <c r="L61" s="1547"/>
      <c r="M61" s="195"/>
      <c r="N61" s="195"/>
      <c r="O61" s="195"/>
      <c r="P61" s="195"/>
      <c r="Q61" s="195"/>
      <c r="R61" s="197"/>
      <c r="S61" s="197"/>
      <c r="T61" s="818"/>
      <c r="U61" s="818"/>
      <c r="V61" s="818"/>
      <c r="W61" s="818"/>
      <c r="X61" s="234"/>
      <c r="Z61" s="79">
        <f>V56/4</f>
        <v>2500000</v>
      </c>
    </row>
    <row r="62" spans="1:26">
      <c r="A62" s="5" t="s">
        <v>15</v>
      </c>
      <c r="B62" s="195"/>
      <c r="C62" s="195"/>
      <c r="D62" s="195"/>
      <c r="E62" s="11" t="s">
        <v>17</v>
      </c>
      <c r="F62" s="1422">
        <f>SUM(F58:L61)</f>
        <v>10000000</v>
      </c>
      <c r="G62" s="1422"/>
      <c r="H62" s="1422"/>
      <c r="I62" s="1422"/>
      <c r="J62" s="1422"/>
      <c r="K62" s="1422"/>
      <c r="L62" s="1422"/>
      <c r="M62" s="195"/>
      <c r="N62" s="195"/>
      <c r="O62" s="195"/>
      <c r="P62" s="195"/>
      <c r="Q62" s="195"/>
      <c r="R62" s="197"/>
      <c r="S62" s="197"/>
      <c r="T62" s="197"/>
      <c r="U62" s="197"/>
      <c r="V62" s="197"/>
      <c r="W62" s="197"/>
      <c r="X62" s="234"/>
      <c r="Z62" s="79"/>
    </row>
    <row r="63" spans="1:26">
      <c r="A63" s="5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357" t="s">
        <v>849</v>
      </c>
      <c r="S63" s="1357"/>
      <c r="T63" s="1357"/>
      <c r="U63" s="1357"/>
      <c r="V63" s="1357"/>
      <c r="W63" s="1357"/>
      <c r="X63" s="1358"/>
    </row>
    <row r="64" spans="1:26">
      <c r="A64" s="5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3"/>
      <c r="R64" s="1359" t="s">
        <v>914</v>
      </c>
      <c r="S64" s="1209"/>
      <c r="T64" s="1209"/>
      <c r="U64" s="1209"/>
      <c r="V64" s="1209"/>
      <c r="W64" s="1209"/>
      <c r="X64" s="1210"/>
    </row>
    <row r="65" spans="1:24">
      <c r="A65" s="1418" t="s">
        <v>1034</v>
      </c>
      <c r="B65" s="1400"/>
      <c r="C65" s="1400"/>
      <c r="D65" s="1400"/>
      <c r="E65" s="1400"/>
      <c r="F65" s="1400"/>
      <c r="G65" s="1400"/>
      <c r="H65" s="1400"/>
      <c r="I65" s="1400"/>
      <c r="J65" s="1400"/>
      <c r="K65" s="1400"/>
      <c r="L65" s="1400"/>
      <c r="M65" s="1400"/>
      <c r="N65" s="1400"/>
      <c r="O65" s="1400"/>
      <c r="P65" s="1400"/>
      <c r="Q65" s="3"/>
      <c r="R65" s="1564"/>
      <c r="S65" s="1473"/>
      <c r="T65" s="1473"/>
      <c r="U65" s="1473"/>
      <c r="V65" s="1473"/>
      <c r="W65" s="1473"/>
      <c r="X65" s="1481"/>
    </row>
    <row r="66" spans="1:24">
      <c r="A66" s="266"/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195"/>
      <c r="R66" s="1456" t="s">
        <v>921</v>
      </c>
      <c r="S66" s="1209"/>
      <c r="T66" s="1209"/>
      <c r="U66" s="1209"/>
      <c r="V66" s="1209"/>
      <c r="W66" s="1209"/>
      <c r="X66" s="1210"/>
    </row>
    <row r="67" spans="1:24">
      <c r="A67" s="5">
        <v>1</v>
      </c>
      <c r="B67" s="195" t="s">
        <v>460</v>
      </c>
      <c r="C67" s="195"/>
      <c r="D67" s="195"/>
      <c r="E67" s="195"/>
      <c r="F67" s="195"/>
      <c r="G67" s="195"/>
      <c r="H67" s="195"/>
      <c r="I67" s="195"/>
      <c r="J67" s="195"/>
      <c r="K67" s="195" t="s">
        <v>193</v>
      </c>
      <c r="L67" s="195"/>
      <c r="M67" s="195"/>
      <c r="N67" s="195"/>
      <c r="O67" s="195"/>
      <c r="P67" s="195"/>
      <c r="Q67" s="195"/>
      <c r="R67" s="1147" t="s">
        <v>155</v>
      </c>
      <c r="S67" s="1146"/>
      <c r="T67" s="1146"/>
      <c r="U67" s="1146"/>
      <c r="V67" s="1146"/>
      <c r="W67" s="1146"/>
      <c r="X67" s="1149"/>
    </row>
    <row r="68" spans="1:24">
      <c r="A68" s="5"/>
      <c r="B68" t="s">
        <v>1019</v>
      </c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147" t="s">
        <v>114</v>
      </c>
      <c r="S68" s="1146"/>
      <c r="T68" s="1146"/>
      <c r="U68" s="1146"/>
      <c r="V68" s="1146"/>
      <c r="W68" s="1146"/>
      <c r="X68" s="1149"/>
    </row>
    <row r="69" spans="1:24">
      <c r="A69" s="5"/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35"/>
      <c r="S69" s="195"/>
      <c r="T69" s="195"/>
      <c r="U69" s="195"/>
      <c r="V69" s="195"/>
      <c r="W69" s="195"/>
      <c r="X69" s="2"/>
    </row>
    <row r="70" spans="1:24">
      <c r="A70" s="5">
        <v>3</v>
      </c>
      <c r="B70" s="195" t="s">
        <v>481</v>
      </c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 t="s">
        <v>195</v>
      </c>
      <c r="O70" s="195"/>
      <c r="P70" s="195"/>
      <c r="Q70" s="195"/>
      <c r="R70" s="35"/>
      <c r="S70" s="195"/>
      <c r="T70" s="195"/>
      <c r="U70" s="195"/>
      <c r="V70" s="195"/>
      <c r="W70" s="195"/>
      <c r="X70" s="2"/>
    </row>
    <row r="71" spans="1:24">
      <c r="A71" s="5"/>
      <c r="B71" t="s">
        <v>1019</v>
      </c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35"/>
      <c r="S71" s="195"/>
      <c r="T71" s="195"/>
      <c r="U71" s="195"/>
      <c r="V71" s="195"/>
      <c r="W71" s="195"/>
      <c r="X71" s="2"/>
    </row>
    <row r="72" spans="1:24">
      <c r="A72" s="5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427" t="s">
        <v>115</v>
      </c>
      <c r="S72" s="1357"/>
      <c r="T72" s="1357"/>
      <c r="U72" s="1357"/>
      <c r="V72" s="1357"/>
      <c r="W72" s="1357"/>
      <c r="X72" s="1358"/>
    </row>
    <row r="73" spans="1:24">
      <c r="A73" s="5"/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147" t="s">
        <v>116</v>
      </c>
      <c r="S73" s="1146"/>
      <c r="T73" s="1146"/>
      <c r="U73" s="1146"/>
      <c r="V73" s="1146"/>
      <c r="W73" s="1146"/>
      <c r="X73" s="1149"/>
    </row>
    <row r="74" spans="1:24" ht="15.75" thickBot="1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50"/>
      <c r="S74" s="49"/>
      <c r="T74" s="49"/>
      <c r="U74" s="49"/>
      <c r="V74" s="49"/>
      <c r="W74" s="49"/>
      <c r="X74" s="86"/>
    </row>
  </sheetData>
  <mergeCells count="133">
    <mergeCell ref="T43:U43"/>
    <mergeCell ref="V43:X43"/>
    <mergeCell ref="V40:X40"/>
    <mergeCell ref="V35:X35"/>
    <mergeCell ref="R36:S36"/>
    <mergeCell ref="T40:U40"/>
    <mergeCell ref="R34:S34"/>
    <mergeCell ref="R41:S41"/>
    <mergeCell ref="T41:U41"/>
    <mergeCell ref="V41:X41"/>
    <mergeCell ref="R38:S38"/>
    <mergeCell ref="T38:U38"/>
    <mergeCell ref="V38:X38"/>
    <mergeCell ref="R46:S46"/>
    <mergeCell ref="T46:U46"/>
    <mergeCell ref="V46:X46"/>
    <mergeCell ref="R47:S47"/>
    <mergeCell ref="T47:U47"/>
    <mergeCell ref="M31:P31"/>
    <mergeCell ref="R31:S31"/>
    <mergeCell ref="T31:U31"/>
    <mergeCell ref="V31:X31"/>
    <mergeCell ref="R32:S32"/>
    <mergeCell ref="T33:U33"/>
    <mergeCell ref="V33:X33"/>
    <mergeCell ref="T34:U34"/>
    <mergeCell ref="V34:X34"/>
    <mergeCell ref="R35:S35"/>
    <mergeCell ref="T36:U36"/>
    <mergeCell ref="V36:X36"/>
    <mergeCell ref="R40:S40"/>
    <mergeCell ref="T32:U32"/>
    <mergeCell ref="V32:X32"/>
    <mergeCell ref="R33:S33"/>
    <mergeCell ref="M43:P43"/>
    <mergeCell ref="R43:S43"/>
    <mergeCell ref="T35:U35"/>
    <mergeCell ref="R73:X73"/>
    <mergeCell ref="R48:S48"/>
    <mergeCell ref="T48:U48"/>
    <mergeCell ref="V48:X48"/>
    <mergeCell ref="A56:U56"/>
    <mergeCell ref="V56:X56"/>
    <mergeCell ref="R52:S52"/>
    <mergeCell ref="T52:U52"/>
    <mergeCell ref="V52:X52"/>
    <mergeCell ref="V53:X53"/>
    <mergeCell ref="R53:S53"/>
    <mergeCell ref="T53:U53"/>
    <mergeCell ref="R63:X63"/>
    <mergeCell ref="R64:X64"/>
    <mergeCell ref="R68:X68"/>
    <mergeCell ref="R66:X66"/>
    <mergeCell ref="R59:X59"/>
    <mergeCell ref="T60:W60"/>
    <mergeCell ref="T54:U54"/>
    <mergeCell ref="V54:X54"/>
    <mergeCell ref="R67:X67"/>
    <mergeCell ref="A65:P65"/>
    <mergeCell ref="R65:X65"/>
    <mergeCell ref="F58:L58"/>
    <mergeCell ref="A25:L25"/>
    <mergeCell ref="M25:P25"/>
    <mergeCell ref="R25:S25"/>
    <mergeCell ref="T25:U25"/>
    <mergeCell ref="V25:X25"/>
    <mergeCell ref="A26:L26"/>
    <mergeCell ref="M26:P26"/>
    <mergeCell ref="V26:X26"/>
    <mergeCell ref="R72:X72"/>
    <mergeCell ref="R58:X58"/>
    <mergeCell ref="F59:L59"/>
    <mergeCell ref="F60:L60"/>
    <mergeCell ref="F61:L61"/>
    <mergeCell ref="F62:L62"/>
    <mergeCell ref="V47:X47"/>
    <mergeCell ref="R44:S44"/>
    <mergeCell ref="T44:U44"/>
    <mergeCell ref="V44:X44"/>
    <mergeCell ref="R45:S45"/>
    <mergeCell ref="T45:U45"/>
    <mergeCell ref="V45:X45"/>
    <mergeCell ref="R50:S50"/>
    <mergeCell ref="T50:U50"/>
    <mergeCell ref="V50:X50"/>
    <mergeCell ref="V29:X29"/>
    <mergeCell ref="A30:L30"/>
    <mergeCell ref="M30:P30"/>
    <mergeCell ref="V30:X30"/>
    <mergeCell ref="A27:L27"/>
    <mergeCell ref="V27:X27"/>
    <mergeCell ref="A28:L28"/>
    <mergeCell ref="V28:X28"/>
    <mergeCell ref="A29:L29"/>
    <mergeCell ref="A14:X14"/>
    <mergeCell ref="A15:F15"/>
    <mergeCell ref="I15:T15"/>
    <mergeCell ref="U15:X15"/>
    <mergeCell ref="U16:X16"/>
    <mergeCell ref="V17:X17"/>
    <mergeCell ref="Q23:U23"/>
    <mergeCell ref="V23:X23"/>
    <mergeCell ref="A5:V5"/>
    <mergeCell ref="A6:V6"/>
    <mergeCell ref="U19:X19"/>
    <mergeCell ref="A21:X21"/>
    <mergeCell ref="A22:X22"/>
    <mergeCell ref="A23:L23"/>
    <mergeCell ref="M23:P24"/>
    <mergeCell ref="U18:X18"/>
    <mergeCell ref="A24:L24"/>
    <mergeCell ref="R24:S24"/>
    <mergeCell ref="T24:U24"/>
    <mergeCell ref="V24:X24"/>
    <mergeCell ref="A1:O2"/>
    <mergeCell ref="W1:X1"/>
    <mergeCell ref="W2:X2"/>
    <mergeCell ref="A3:O4"/>
    <mergeCell ref="P3:P4"/>
    <mergeCell ref="Q3:Q4"/>
    <mergeCell ref="R3:R4"/>
    <mergeCell ref="S3:S4"/>
    <mergeCell ref="T3:T4"/>
    <mergeCell ref="P1:P2"/>
    <mergeCell ref="Q1:Q2"/>
    <mergeCell ref="R1:R2"/>
    <mergeCell ref="S1:S2"/>
    <mergeCell ref="T1:T2"/>
    <mergeCell ref="U1:U2"/>
    <mergeCell ref="V1:V2"/>
    <mergeCell ref="W4:X4"/>
    <mergeCell ref="U3:U4"/>
    <mergeCell ref="V3:V4"/>
  </mergeCells>
  <pageMargins left="0.7" right="0.7" top="0.75" bottom="0.75" header="0.3" footer="0.3"/>
  <pageSetup paperSize="5" scale="80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Z69"/>
  <sheetViews>
    <sheetView view="pageBreakPreview" topLeftCell="A52" zoomScaleSheetLayoutView="100" workbookViewId="0">
      <selection activeCell="Z49" sqref="Z49"/>
    </sheetView>
  </sheetViews>
  <sheetFormatPr defaultRowHeight="15"/>
  <cols>
    <col min="1" max="1" width="2.85546875" customWidth="1"/>
    <col min="2" max="3" width="2.5703125" customWidth="1"/>
    <col min="4" max="4" width="2.85546875" customWidth="1"/>
    <col min="5" max="5" width="2.7109375" customWidth="1"/>
    <col min="6" max="6" width="2" customWidth="1"/>
    <col min="7" max="7" width="2.7109375" customWidth="1"/>
    <col min="8" max="8" width="2.140625" customWidth="1"/>
    <col min="9" max="9" width="1.7109375" customWidth="1"/>
    <col min="10" max="10" width="1.5703125" customWidth="1"/>
    <col min="11" max="11" width="2.42578125" customWidth="1"/>
    <col min="12" max="12" width="2.140625" customWidth="1"/>
    <col min="15" max="15" width="7.42578125" customWidth="1"/>
    <col min="16" max="16" width="8" customWidth="1"/>
    <col min="17" max="17" width="6.5703125" customWidth="1"/>
    <col min="18" max="18" width="3.85546875" customWidth="1"/>
    <col min="19" max="19" width="5.140625" customWidth="1"/>
    <col min="20" max="20" width="4.28515625" customWidth="1"/>
    <col min="21" max="21" width="6.140625" customWidth="1"/>
    <col min="22" max="22" width="0.140625" customWidth="1"/>
    <col min="23" max="23" width="1.85546875" customWidth="1"/>
    <col min="24" max="24" width="17.85546875" customWidth="1"/>
    <col min="26" max="26" width="16.7109375" customWidth="1"/>
    <col min="30" max="30" width="13.28515625" bestFit="1" customWidth="1"/>
  </cols>
  <sheetData>
    <row r="1" spans="1:24" ht="15" customHeight="1">
      <c r="A1" s="1583" t="s">
        <v>0</v>
      </c>
      <c r="B1" s="1584"/>
      <c r="C1" s="1584"/>
      <c r="D1" s="1584"/>
      <c r="E1" s="1584"/>
      <c r="F1" s="1584"/>
      <c r="G1" s="1584"/>
      <c r="H1" s="1584"/>
      <c r="I1" s="1584"/>
      <c r="J1" s="1584"/>
      <c r="K1" s="1584"/>
      <c r="L1" s="1584"/>
      <c r="M1" s="1584"/>
      <c r="N1" s="1584"/>
      <c r="O1" s="1752"/>
      <c r="P1" s="1281" t="s">
        <v>559</v>
      </c>
      <c r="Q1" s="1282" t="s">
        <v>559</v>
      </c>
      <c r="R1" s="1445" t="s">
        <v>157</v>
      </c>
      <c r="S1" s="1445" t="s">
        <v>63</v>
      </c>
      <c r="T1" s="1445" t="s">
        <v>488</v>
      </c>
      <c r="U1" s="1283">
        <v>5</v>
      </c>
      <c r="V1" s="1281">
        <v>2</v>
      </c>
      <c r="W1" s="1321"/>
      <c r="X1" s="1323"/>
    </row>
    <row r="2" spans="1:24" ht="15" customHeight="1">
      <c r="A2" s="1389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1"/>
      <c r="P2" s="1375"/>
      <c r="Q2" s="1376"/>
      <c r="R2" s="1376"/>
      <c r="S2" s="1377"/>
      <c r="T2" s="1377"/>
      <c r="U2" s="1753"/>
      <c r="V2" s="1284"/>
      <c r="W2" s="1164" t="s">
        <v>1</v>
      </c>
      <c r="X2" s="1393"/>
    </row>
    <row r="3" spans="1:24" ht="15" customHeight="1">
      <c r="A3" s="1379" t="s">
        <v>2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1"/>
      <c r="P3" s="1375"/>
      <c r="Q3" s="1376"/>
      <c r="R3" s="1377"/>
      <c r="S3" s="1377"/>
      <c r="T3" s="1377"/>
      <c r="U3" s="1753"/>
      <c r="V3" s="1281">
        <v>2</v>
      </c>
      <c r="W3" s="871"/>
      <c r="X3" s="872"/>
    </row>
    <row r="4" spans="1:24" ht="15" customHeight="1">
      <c r="A4" s="1382"/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4"/>
      <c r="P4" s="1284"/>
      <c r="Q4" s="1285"/>
      <c r="R4" s="1285"/>
      <c r="S4" s="1378"/>
      <c r="T4" s="1378"/>
      <c r="U4" s="1286"/>
      <c r="V4" s="1284"/>
      <c r="W4" s="1164" t="s">
        <v>1044</v>
      </c>
      <c r="X4" s="1393"/>
    </row>
    <row r="5" spans="1:24">
      <c r="A5" s="1515" t="s">
        <v>717</v>
      </c>
      <c r="B5" s="1516"/>
      <c r="C5" s="1516"/>
      <c r="D5" s="1516"/>
      <c r="E5" s="1516"/>
      <c r="F5" s="1516"/>
      <c r="G5" s="1516"/>
      <c r="H5" s="1516"/>
      <c r="I5" s="1516"/>
      <c r="J5" s="1516"/>
      <c r="K5" s="1516"/>
      <c r="L5" s="1516"/>
      <c r="M5" s="1516"/>
      <c r="N5" s="1516"/>
      <c r="O5" s="1516"/>
      <c r="P5" s="1516"/>
      <c r="Q5" s="1516"/>
      <c r="R5" s="1516"/>
      <c r="S5" s="1516"/>
      <c r="T5" s="1516"/>
      <c r="U5" s="1516"/>
      <c r="V5" s="858"/>
      <c r="W5" s="852"/>
      <c r="X5" s="853"/>
    </row>
    <row r="6" spans="1:24">
      <c r="A6" s="1518" t="s">
        <v>922</v>
      </c>
      <c r="B6" s="1519"/>
      <c r="C6" s="1519"/>
      <c r="D6" s="1519"/>
      <c r="E6" s="1519"/>
      <c r="F6" s="1519"/>
      <c r="G6" s="1519"/>
      <c r="H6" s="1519"/>
      <c r="I6" s="1519"/>
      <c r="J6" s="1519"/>
      <c r="K6" s="1519"/>
      <c r="L6" s="1519"/>
      <c r="M6" s="1519"/>
      <c r="N6" s="1519"/>
      <c r="O6" s="1519"/>
      <c r="P6" s="1519"/>
      <c r="Q6" s="1519"/>
      <c r="R6" s="1519"/>
      <c r="S6" s="1519"/>
      <c r="T6" s="1519"/>
      <c r="U6" s="1519"/>
      <c r="V6" s="859"/>
      <c r="W6" s="850"/>
      <c r="X6" s="851"/>
    </row>
    <row r="7" spans="1:24">
      <c r="A7" s="5" t="s">
        <v>5</v>
      </c>
      <c r="B7" s="195"/>
      <c r="C7" s="195"/>
      <c r="D7" s="195"/>
      <c r="E7" s="195"/>
      <c r="F7" s="195"/>
      <c r="G7" s="195"/>
      <c r="H7" s="195"/>
      <c r="I7" s="195"/>
      <c r="J7" s="195"/>
      <c r="K7" s="195" t="s">
        <v>6</v>
      </c>
      <c r="L7" s="195" t="s">
        <v>559</v>
      </c>
      <c r="M7" s="195"/>
      <c r="N7" s="195"/>
      <c r="O7" s="195"/>
      <c r="P7" s="330" t="s">
        <v>8</v>
      </c>
      <c r="Q7" s="330"/>
      <c r="R7" s="330"/>
      <c r="S7" s="330"/>
      <c r="T7" s="330"/>
      <c r="U7" s="330"/>
      <c r="V7" s="195"/>
      <c r="W7" s="195"/>
      <c r="X7" s="2"/>
    </row>
    <row r="8" spans="1:24">
      <c r="A8" s="5" t="s">
        <v>9</v>
      </c>
      <c r="B8" s="195"/>
      <c r="C8" s="195"/>
      <c r="D8" s="195"/>
      <c r="E8" s="195"/>
      <c r="F8" s="195"/>
      <c r="G8" s="195"/>
      <c r="H8" s="195"/>
      <c r="I8" s="195"/>
      <c r="J8" s="195"/>
      <c r="K8" s="195" t="s">
        <v>6</v>
      </c>
      <c r="L8" s="6" t="s">
        <v>529</v>
      </c>
      <c r="M8" s="6"/>
      <c r="N8" s="195"/>
      <c r="O8" s="195"/>
      <c r="P8" s="6" t="s">
        <v>11</v>
      </c>
      <c r="Q8" s="6"/>
      <c r="R8" s="6"/>
      <c r="S8" s="6"/>
      <c r="T8" s="6"/>
      <c r="U8" s="6"/>
      <c r="V8" s="195"/>
      <c r="W8" s="195"/>
      <c r="X8" s="2"/>
    </row>
    <row r="9" spans="1:24">
      <c r="A9" s="5" t="s">
        <v>162</v>
      </c>
      <c r="B9" s="195"/>
      <c r="C9" s="195"/>
      <c r="D9" s="195"/>
      <c r="E9" s="195"/>
      <c r="F9" s="195"/>
      <c r="G9" s="195"/>
      <c r="H9" s="195"/>
      <c r="I9" s="195"/>
      <c r="J9" s="195"/>
      <c r="K9" s="195" t="s">
        <v>6</v>
      </c>
      <c r="L9" s="195" t="s">
        <v>530</v>
      </c>
      <c r="M9" s="195"/>
      <c r="N9" s="195"/>
      <c r="O9" s="195"/>
      <c r="P9" s="6" t="s">
        <v>163</v>
      </c>
      <c r="Q9" s="6"/>
      <c r="R9" s="6"/>
      <c r="S9" s="6"/>
      <c r="T9" s="6"/>
      <c r="U9" s="6"/>
      <c r="V9" s="195"/>
      <c r="W9" s="195"/>
      <c r="X9" s="2"/>
    </row>
    <row r="10" spans="1:24">
      <c r="A10" s="5" t="s">
        <v>58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 t="s">
        <v>6</v>
      </c>
      <c r="L10" s="195" t="s">
        <v>626</v>
      </c>
      <c r="M10" s="195"/>
      <c r="N10" s="195"/>
      <c r="O10" s="195"/>
      <c r="P10" s="331" t="s">
        <v>91</v>
      </c>
      <c r="Q10" s="331"/>
      <c r="R10" s="331"/>
      <c r="S10" s="331"/>
      <c r="T10" s="331"/>
      <c r="U10" s="331"/>
      <c r="V10" s="331"/>
      <c r="W10" s="331"/>
      <c r="X10" s="333"/>
    </row>
    <row r="11" spans="1:24">
      <c r="A11" s="5" t="s">
        <v>164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 t="s">
        <v>6</v>
      </c>
      <c r="L11" s="195" t="s">
        <v>919</v>
      </c>
      <c r="M11" s="195"/>
      <c r="N11" s="195"/>
      <c r="O11" s="195"/>
      <c r="P11" s="195"/>
      <c r="Q11" s="45"/>
      <c r="R11" s="195"/>
      <c r="S11" s="195"/>
      <c r="T11" s="195"/>
      <c r="U11" s="195"/>
      <c r="V11" s="195"/>
      <c r="W11" s="195"/>
      <c r="X11" s="2"/>
    </row>
    <row r="12" spans="1:24">
      <c r="A12" s="5" t="s">
        <v>165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 t="s">
        <v>6</v>
      </c>
      <c r="L12" s="195" t="s">
        <v>923</v>
      </c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2"/>
    </row>
    <row r="13" spans="1:24">
      <c r="A13" s="5" t="s">
        <v>167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 t="s">
        <v>6</v>
      </c>
      <c r="L13" s="195" t="s">
        <v>68</v>
      </c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2"/>
    </row>
    <row r="14" spans="1:24">
      <c r="A14" s="1418" t="s">
        <v>260</v>
      </c>
      <c r="B14" s="1400"/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0"/>
      <c r="U14" s="1400"/>
      <c r="V14" s="1400"/>
      <c r="W14" s="1400"/>
      <c r="X14" s="1405"/>
    </row>
    <row r="15" spans="1:24">
      <c r="A15" s="1418" t="s">
        <v>169</v>
      </c>
      <c r="B15" s="1400"/>
      <c r="C15" s="1400"/>
      <c r="D15" s="1400"/>
      <c r="E15" s="1400"/>
      <c r="F15" s="1400"/>
      <c r="G15" s="270"/>
      <c r="H15" s="270"/>
      <c r="I15" s="1399" t="s">
        <v>170</v>
      </c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3"/>
      <c r="U15" s="1399" t="s">
        <v>171</v>
      </c>
      <c r="V15" s="1400"/>
      <c r="W15" s="1400"/>
      <c r="X15" s="1405"/>
    </row>
    <row r="16" spans="1:24">
      <c r="A16" s="80" t="s">
        <v>172</v>
      </c>
      <c r="B16" s="53"/>
      <c r="C16" s="53"/>
      <c r="D16" s="53"/>
      <c r="E16" s="53"/>
      <c r="F16" s="53"/>
      <c r="G16" s="53"/>
      <c r="H16" s="53"/>
      <c r="I16" s="99" t="s">
        <v>353</v>
      </c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100"/>
      <c r="U16" s="1578">
        <v>1</v>
      </c>
      <c r="V16" s="1579"/>
      <c r="W16" s="1579"/>
      <c r="X16" s="1580"/>
    </row>
    <row r="17" spans="1:26">
      <c r="A17" s="5" t="s">
        <v>174</v>
      </c>
      <c r="B17" s="195"/>
      <c r="C17" s="195"/>
      <c r="D17" s="195"/>
      <c r="E17" s="195"/>
      <c r="F17" s="195"/>
      <c r="G17" s="195"/>
      <c r="H17" s="195"/>
      <c r="I17" s="93" t="s">
        <v>175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101"/>
      <c r="U17" s="102" t="s">
        <v>154</v>
      </c>
      <c r="V17" s="1530">
        <f>V27</f>
        <v>22718000</v>
      </c>
      <c r="W17" s="1530"/>
      <c r="X17" s="1531"/>
    </row>
    <row r="18" spans="1:26">
      <c r="A18" s="5" t="s">
        <v>176</v>
      </c>
      <c r="B18" s="195"/>
      <c r="C18" s="195"/>
      <c r="D18" s="195"/>
      <c r="E18" s="195"/>
      <c r="F18" s="195"/>
      <c r="G18" s="195"/>
      <c r="H18" s="195"/>
      <c r="I18" s="93" t="s">
        <v>489</v>
      </c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101"/>
      <c r="U18" s="1456" t="s">
        <v>178</v>
      </c>
      <c r="V18" s="1359"/>
      <c r="W18" s="1359"/>
      <c r="X18" s="1360"/>
    </row>
    <row r="19" spans="1:26">
      <c r="A19" s="68" t="s">
        <v>179</v>
      </c>
      <c r="B19" s="3"/>
      <c r="C19" s="3"/>
      <c r="D19" s="3"/>
      <c r="E19" s="3"/>
      <c r="F19" s="3"/>
      <c r="G19" s="3"/>
      <c r="H19" s="3"/>
      <c r="I19" s="105" t="s">
        <v>490</v>
      </c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6"/>
      <c r="U19" s="1455" t="s">
        <v>181</v>
      </c>
      <c r="V19" s="1428"/>
      <c r="W19" s="1428"/>
      <c r="X19" s="1582"/>
    </row>
    <row r="20" spans="1:26">
      <c r="A20" s="5" t="s">
        <v>182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 t="s">
        <v>6</v>
      </c>
      <c r="M20" s="195" t="s">
        <v>920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2"/>
    </row>
    <row r="21" spans="1:26">
      <c r="A21" s="1321" t="s">
        <v>718</v>
      </c>
      <c r="B21" s="1322"/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3"/>
    </row>
    <row r="22" spans="1:26">
      <c r="A22" s="1164" t="s">
        <v>719</v>
      </c>
      <c r="B22" s="1165"/>
      <c r="C22" s="1165"/>
      <c r="D22" s="1165"/>
      <c r="E22" s="1165"/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  <c r="R22" s="1165"/>
      <c r="S22" s="1165"/>
      <c r="T22" s="1165"/>
      <c r="U22" s="1165"/>
      <c r="V22" s="1165"/>
      <c r="W22" s="1165"/>
      <c r="X22" s="1393"/>
    </row>
    <row r="23" spans="1:26">
      <c r="A23" s="1321" t="s">
        <v>13</v>
      </c>
      <c r="B23" s="1322"/>
      <c r="C23" s="1322"/>
      <c r="D23" s="1322"/>
      <c r="E23" s="1322"/>
      <c r="F23" s="1322"/>
      <c r="G23" s="1322"/>
      <c r="H23" s="1322"/>
      <c r="I23" s="1322"/>
      <c r="J23" s="1322"/>
      <c r="K23" s="1322"/>
      <c r="L23" s="1394"/>
      <c r="M23" s="1395" t="s">
        <v>14</v>
      </c>
      <c r="N23" s="1396"/>
      <c r="O23" s="1396"/>
      <c r="P23" s="1397"/>
      <c r="Q23" s="1401" t="s">
        <v>121</v>
      </c>
      <c r="R23" s="1322"/>
      <c r="S23" s="1322"/>
      <c r="T23" s="1322"/>
      <c r="U23" s="1322"/>
      <c r="V23" s="1401" t="s">
        <v>15</v>
      </c>
      <c r="W23" s="1322"/>
      <c r="X23" s="1323"/>
    </row>
    <row r="24" spans="1:26">
      <c r="A24" s="1164" t="s">
        <v>16</v>
      </c>
      <c r="B24" s="1165"/>
      <c r="C24" s="1165"/>
      <c r="D24" s="1165"/>
      <c r="E24" s="1165"/>
      <c r="F24" s="1165"/>
      <c r="G24" s="1165"/>
      <c r="H24" s="1165"/>
      <c r="I24" s="1165"/>
      <c r="J24" s="1165"/>
      <c r="K24" s="1165"/>
      <c r="L24" s="1166"/>
      <c r="M24" s="1398"/>
      <c r="N24" s="1173"/>
      <c r="O24" s="1173"/>
      <c r="P24" s="1174"/>
      <c r="Q24" s="90" t="s">
        <v>122</v>
      </c>
      <c r="R24" s="1399" t="s">
        <v>123</v>
      </c>
      <c r="S24" s="1403"/>
      <c r="T24" s="1399" t="s">
        <v>124</v>
      </c>
      <c r="U24" s="1403"/>
      <c r="V24" s="1436" t="s">
        <v>17</v>
      </c>
      <c r="W24" s="1165"/>
      <c r="X24" s="1393"/>
    </row>
    <row r="25" spans="1:26">
      <c r="A25" s="1418">
        <v>1</v>
      </c>
      <c r="B25" s="1400"/>
      <c r="C25" s="1400"/>
      <c r="D25" s="1400"/>
      <c r="E25" s="1400"/>
      <c r="F25" s="1400"/>
      <c r="G25" s="1400"/>
      <c r="H25" s="1400"/>
      <c r="I25" s="1400"/>
      <c r="J25" s="1400"/>
      <c r="K25" s="1400"/>
      <c r="L25" s="1403"/>
      <c r="M25" s="1399">
        <v>2</v>
      </c>
      <c r="N25" s="1400"/>
      <c r="O25" s="1400"/>
      <c r="P25" s="1403"/>
      <c r="Q25" s="90">
        <v>3</v>
      </c>
      <c r="R25" s="1399">
        <v>4</v>
      </c>
      <c r="S25" s="1403"/>
      <c r="T25" s="1399">
        <v>5</v>
      </c>
      <c r="U25" s="1403"/>
      <c r="V25" s="1401">
        <v>6</v>
      </c>
      <c r="W25" s="1322"/>
      <c r="X25" s="1323"/>
    </row>
    <row r="26" spans="1:26">
      <c r="A26" s="1548" t="s">
        <v>744</v>
      </c>
      <c r="B26" s="1549"/>
      <c r="C26" s="1549"/>
      <c r="D26" s="1549"/>
      <c r="E26" s="1549"/>
      <c r="F26" s="1549"/>
      <c r="G26" s="1549"/>
      <c r="H26" s="1549"/>
      <c r="I26" s="1549"/>
      <c r="J26" s="1549"/>
      <c r="K26" s="1549"/>
      <c r="L26" s="1550"/>
      <c r="M26" s="1420" t="s">
        <v>551</v>
      </c>
      <c r="N26" s="1420"/>
      <c r="O26" s="1420"/>
      <c r="P26" s="1420"/>
      <c r="Q26" s="363"/>
      <c r="R26" s="363"/>
      <c r="S26" s="357"/>
      <c r="T26" s="356"/>
      <c r="U26" s="356"/>
      <c r="V26" s="1581">
        <f>V27</f>
        <v>22718000</v>
      </c>
      <c r="W26" s="1322"/>
      <c r="X26" s="1394"/>
    </row>
    <row r="27" spans="1:26">
      <c r="A27" s="1467" t="s">
        <v>743</v>
      </c>
      <c r="B27" s="1355"/>
      <c r="C27" s="1355"/>
      <c r="D27" s="1355"/>
      <c r="E27" s="1355"/>
      <c r="F27" s="1355"/>
      <c r="G27" s="1355"/>
      <c r="H27" s="1355"/>
      <c r="I27" s="1355"/>
      <c r="J27" s="1355"/>
      <c r="K27" s="1355"/>
      <c r="L27" s="1356"/>
      <c r="M27" s="83" t="s">
        <v>23</v>
      </c>
      <c r="N27" s="84"/>
      <c r="O27" s="84"/>
      <c r="P27" s="85"/>
      <c r="Q27" s="83"/>
      <c r="R27" s="83"/>
      <c r="S27" s="85"/>
      <c r="T27" s="84"/>
      <c r="U27" s="84"/>
      <c r="V27" s="1468">
        <f>V28+X37+V43</f>
        <v>22718000</v>
      </c>
      <c r="W27" s="1424"/>
      <c r="X27" s="1754"/>
    </row>
    <row r="28" spans="1:26">
      <c r="A28" s="1354" t="s">
        <v>627</v>
      </c>
      <c r="B28" s="1355"/>
      <c r="C28" s="1355"/>
      <c r="D28" s="1355"/>
      <c r="E28" s="1355"/>
      <c r="F28" s="1355"/>
      <c r="G28" s="1355"/>
      <c r="H28" s="1355"/>
      <c r="I28" s="1355"/>
      <c r="J28" s="1355"/>
      <c r="K28" s="1355"/>
      <c r="L28" s="1355"/>
      <c r="M28" s="83" t="s">
        <v>22</v>
      </c>
      <c r="N28" s="84"/>
      <c r="O28" s="84"/>
      <c r="P28" s="85"/>
      <c r="Q28" s="83"/>
      <c r="R28" s="83"/>
      <c r="S28" s="85"/>
      <c r="T28" s="84"/>
      <c r="U28" s="84"/>
      <c r="V28" s="1468">
        <f>V29</f>
        <v>3720000</v>
      </c>
      <c r="W28" s="1424"/>
      <c r="X28" s="1754"/>
    </row>
    <row r="29" spans="1:26">
      <c r="A29" s="1354" t="s">
        <v>628</v>
      </c>
      <c r="B29" s="1355"/>
      <c r="C29" s="1355"/>
      <c r="D29" s="1355"/>
      <c r="E29" s="1355"/>
      <c r="F29" s="1355"/>
      <c r="G29" s="1355"/>
      <c r="H29" s="1355"/>
      <c r="I29" s="1355"/>
      <c r="J29" s="1355"/>
      <c r="K29" s="1355"/>
      <c r="L29" s="1355"/>
      <c r="M29" s="83" t="s">
        <v>336</v>
      </c>
      <c r="N29" s="84"/>
      <c r="O29" s="84"/>
      <c r="P29" s="85"/>
      <c r="Q29" s="83"/>
      <c r="R29" s="83"/>
      <c r="S29" s="85"/>
      <c r="T29" s="84"/>
      <c r="U29" s="84"/>
      <c r="V29" s="1468">
        <f>V30</f>
        <v>3720000</v>
      </c>
      <c r="W29" s="1424"/>
      <c r="X29" s="1425"/>
    </row>
    <row r="30" spans="1:26">
      <c r="A30" s="1354" t="s">
        <v>629</v>
      </c>
      <c r="B30" s="1355"/>
      <c r="C30" s="1355"/>
      <c r="D30" s="1355"/>
      <c r="E30" s="1355"/>
      <c r="F30" s="1355"/>
      <c r="G30" s="1355"/>
      <c r="H30" s="1355"/>
      <c r="I30" s="1355"/>
      <c r="J30" s="1355"/>
      <c r="K30" s="1355"/>
      <c r="L30" s="1355"/>
      <c r="M30" s="35" t="s">
        <v>337</v>
      </c>
      <c r="N30" s="195"/>
      <c r="O30" s="195"/>
      <c r="P30" s="36"/>
      <c r="Q30" s="35"/>
      <c r="R30" s="35"/>
      <c r="S30" s="36"/>
      <c r="T30" s="195"/>
      <c r="U30" s="195"/>
      <c r="V30" s="1598">
        <f>V31+V32+V33</f>
        <v>3720000</v>
      </c>
      <c r="W30" s="1422"/>
      <c r="X30" s="1423"/>
    </row>
    <row r="31" spans="1:26">
      <c r="A31" s="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36"/>
      <c r="M31" s="63" t="s">
        <v>709</v>
      </c>
      <c r="N31" s="66" t="s">
        <v>1000</v>
      </c>
      <c r="O31" s="195"/>
      <c r="P31" s="36"/>
      <c r="Q31" s="269">
        <v>56</v>
      </c>
      <c r="R31" s="1147" t="s">
        <v>1020</v>
      </c>
      <c r="S31" s="1148"/>
      <c r="T31" s="1349">
        <v>20000</v>
      </c>
      <c r="U31" s="1350"/>
      <c r="V31" s="1598">
        <f>Q31*T31</f>
        <v>1120000</v>
      </c>
      <c r="W31" s="1422"/>
      <c r="X31" s="1423"/>
      <c r="Z31" s="79">
        <f>3720000-V30</f>
        <v>0</v>
      </c>
    </row>
    <row r="32" spans="1:26">
      <c r="A32" s="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36"/>
      <c r="M32" s="1740" t="s">
        <v>999</v>
      </c>
      <c r="N32" s="1278"/>
      <c r="O32" s="1278"/>
      <c r="P32" s="1351"/>
      <c r="Q32" s="341">
        <v>144</v>
      </c>
      <c r="R32" s="1147" t="s">
        <v>1020</v>
      </c>
      <c r="S32" s="1148"/>
      <c r="T32" s="1349">
        <v>18000</v>
      </c>
      <c r="U32" s="1350"/>
      <c r="V32" s="1598">
        <f>Q32*T32</f>
        <v>2592000</v>
      </c>
      <c r="W32" s="1422"/>
      <c r="X32" s="1423"/>
    </row>
    <row r="33" spans="1:26">
      <c r="A33" s="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36"/>
      <c r="M33" s="92" t="s">
        <v>241</v>
      </c>
      <c r="N33" s="195"/>
      <c r="O33" s="195"/>
      <c r="P33" s="36"/>
      <c r="Q33" s="35"/>
      <c r="R33" s="1147"/>
      <c r="S33" s="1148"/>
      <c r="T33" s="195"/>
      <c r="U33" s="195"/>
      <c r="V33" s="1349">
        <v>8000</v>
      </c>
      <c r="W33" s="1352"/>
      <c r="X33" s="1353"/>
      <c r="Z33" s="79"/>
    </row>
    <row r="34" spans="1:26">
      <c r="A34" s="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36"/>
      <c r="M34" s="92"/>
      <c r="N34" s="195"/>
      <c r="O34" s="195"/>
      <c r="P34" s="36"/>
      <c r="Q34" s="35"/>
      <c r="R34" s="587"/>
      <c r="S34" s="588"/>
      <c r="T34" s="195"/>
      <c r="U34" s="195"/>
      <c r="V34" s="812"/>
      <c r="W34" s="813"/>
      <c r="X34" s="814"/>
      <c r="Z34" s="79"/>
    </row>
    <row r="35" spans="1:26">
      <c r="A35" s="1354" t="s">
        <v>639</v>
      </c>
      <c r="B35" s="1355"/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232" t="s">
        <v>24</v>
      </c>
      <c r="N35" s="195"/>
      <c r="O35" s="195"/>
      <c r="P35" s="36"/>
      <c r="Q35" s="35"/>
      <c r="R35" s="587"/>
      <c r="S35" s="588"/>
      <c r="T35" s="195"/>
      <c r="U35" s="195"/>
      <c r="V35" s="812"/>
      <c r="W35" s="813"/>
      <c r="X35" s="814"/>
      <c r="Z35" s="79"/>
    </row>
    <row r="36" spans="1:26">
      <c r="A36" s="1354" t="s">
        <v>1001</v>
      </c>
      <c r="B36" s="1355"/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93" t="s">
        <v>1003</v>
      </c>
      <c r="N36" s="195"/>
      <c r="O36" s="195"/>
      <c r="P36" s="36"/>
      <c r="Q36" s="35"/>
      <c r="R36" s="587"/>
      <c r="S36" s="588"/>
      <c r="T36" s="195"/>
      <c r="U36" s="195"/>
      <c r="V36" s="812"/>
      <c r="W36" s="813"/>
      <c r="X36" s="922">
        <f>X37+V43</f>
        <v>18998000</v>
      </c>
      <c r="Z36" s="79"/>
    </row>
    <row r="37" spans="1:26" ht="39" customHeight="1">
      <c r="A37" s="1746" t="s">
        <v>1002</v>
      </c>
      <c r="B37" s="1747"/>
      <c r="C37" s="1747"/>
      <c r="D37" s="1747"/>
      <c r="E37" s="1747"/>
      <c r="F37" s="1747"/>
      <c r="G37" s="1747"/>
      <c r="H37" s="1747"/>
      <c r="I37" s="1747"/>
      <c r="J37" s="1747"/>
      <c r="K37" s="1747"/>
      <c r="L37" s="1748"/>
      <c r="M37" s="1559" t="s">
        <v>1004</v>
      </c>
      <c r="N37" s="1560"/>
      <c r="O37" s="1560"/>
      <c r="P37" s="1561"/>
      <c r="Q37" s="35"/>
      <c r="R37" s="587"/>
      <c r="S37" s="588"/>
      <c r="T37" s="195"/>
      <c r="U37" s="195"/>
      <c r="V37" s="812"/>
      <c r="W37" s="813"/>
      <c r="X37" s="942">
        <f>X38</f>
        <v>11238000</v>
      </c>
      <c r="Z37" s="79"/>
    </row>
    <row r="38" spans="1:26" ht="24" customHeight="1">
      <c r="A38" s="924"/>
      <c r="B38" s="925"/>
      <c r="C38" s="925"/>
      <c r="D38" s="925"/>
      <c r="E38" s="925"/>
      <c r="F38" s="925"/>
      <c r="G38" s="925"/>
      <c r="H38" s="925"/>
      <c r="I38" s="925"/>
      <c r="J38" s="925"/>
      <c r="K38" s="925"/>
      <c r="L38" s="926"/>
      <c r="M38" s="1559" t="s">
        <v>1100</v>
      </c>
      <c r="N38" s="1560"/>
      <c r="O38" s="1560"/>
      <c r="P38" s="1561"/>
      <c r="Q38" s="35"/>
      <c r="R38" s="916"/>
      <c r="S38" s="918"/>
      <c r="T38" s="929"/>
      <c r="U38" s="929"/>
      <c r="V38" s="919"/>
      <c r="W38" s="920"/>
      <c r="X38" s="943">
        <f>SUM(X39:X41)</f>
        <v>11238000</v>
      </c>
      <c r="Z38" s="79"/>
    </row>
    <row r="39" spans="1:26" ht="15" customHeight="1">
      <c r="A39" s="688"/>
      <c r="B39" s="689"/>
      <c r="C39" s="689"/>
      <c r="D39" s="689"/>
      <c r="E39" s="689"/>
      <c r="F39" s="689"/>
      <c r="G39" s="689"/>
      <c r="H39" s="689"/>
      <c r="I39" s="689"/>
      <c r="J39" s="689"/>
      <c r="K39" s="689"/>
      <c r="L39" s="690"/>
      <c r="M39" s="691" t="s">
        <v>1010</v>
      </c>
      <c r="N39" s="589"/>
      <c r="O39" s="589"/>
      <c r="P39" s="590"/>
      <c r="Q39" s="803">
        <v>16</v>
      </c>
      <c r="R39" s="1147" t="s">
        <v>221</v>
      </c>
      <c r="S39" s="1148"/>
      <c r="T39" s="1689">
        <v>75000</v>
      </c>
      <c r="U39" s="1690"/>
      <c r="V39" s="812"/>
      <c r="W39" s="813"/>
      <c r="X39" s="814">
        <f>Q39*T39</f>
        <v>1200000</v>
      </c>
      <c r="Z39" s="79"/>
    </row>
    <row r="40" spans="1:26" ht="15" customHeight="1">
      <c r="A40" s="804"/>
      <c r="B40" s="805"/>
      <c r="C40" s="805"/>
      <c r="D40" s="805"/>
      <c r="E40" s="805"/>
      <c r="F40" s="805"/>
      <c r="G40" s="805"/>
      <c r="H40" s="805"/>
      <c r="I40" s="805"/>
      <c r="J40" s="805"/>
      <c r="K40" s="805"/>
      <c r="L40" s="806"/>
      <c r="M40" s="1571" t="s">
        <v>1011</v>
      </c>
      <c r="N40" s="1741"/>
      <c r="O40" s="1741"/>
      <c r="P40" s="1742"/>
      <c r="Q40" s="803">
        <v>8</v>
      </c>
      <c r="R40" s="1147" t="s">
        <v>1012</v>
      </c>
      <c r="S40" s="1148"/>
      <c r="T40" s="1689">
        <v>1250000</v>
      </c>
      <c r="U40" s="1690"/>
      <c r="V40" s="812"/>
      <c r="W40" s="813"/>
      <c r="X40" s="814">
        <f>Q40*T40</f>
        <v>10000000</v>
      </c>
      <c r="Z40" s="79"/>
    </row>
    <row r="41" spans="1:26" ht="15" customHeight="1">
      <c r="A41" s="804"/>
      <c r="B41" s="805"/>
      <c r="C41" s="805"/>
      <c r="D41" s="805"/>
      <c r="E41" s="805"/>
      <c r="F41" s="805"/>
      <c r="G41" s="805"/>
      <c r="H41" s="805"/>
      <c r="I41" s="805"/>
      <c r="J41" s="805"/>
      <c r="K41" s="805"/>
      <c r="L41" s="806"/>
      <c r="M41" s="1571" t="s">
        <v>241</v>
      </c>
      <c r="N41" s="1741"/>
      <c r="O41" s="1741"/>
      <c r="P41" s="1742"/>
      <c r="Q41" s="803">
        <v>1</v>
      </c>
      <c r="R41" s="1745" t="s">
        <v>1029</v>
      </c>
      <c r="S41" s="1148"/>
      <c r="T41" s="1689">
        <v>38000</v>
      </c>
      <c r="U41" s="1690"/>
      <c r="V41" s="812"/>
      <c r="W41" s="813"/>
      <c r="X41" s="814">
        <v>38000</v>
      </c>
      <c r="Z41" s="79"/>
    </row>
    <row r="42" spans="1:26">
      <c r="A42" s="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36"/>
      <c r="M42" s="92"/>
      <c r="N42" s="195"/>
      <c r="O42" s="195"/>
      <c r="P42" s="36"/>
      <c r="Q42" s="35"/>
      <c r="R42" s="321"/>
      <c r="S42" s="322"/>
      <c r="T42" s="195"/>
      <c r="U42" s="195"/>
      <c r="V42" s="812"/>
      <c r="W42" s="813"/>
      <c r="X42" s="814"/>
    </row>
    <row r="43" spans="1:26">
      <c r="A43" s="1354" t="s">
        <v>639</v>
      </c>
      <c r="B43" s="1355"/>
      <c r="C43" s="1355"/>
      <c r="D43" s="1355"/>
      <c r="E43" s="1355"/>
      <c r="F43" s="1355"/>
      <c r="G43" s="1355"/>
      <c r="H43" s="1355"/>
      <c r="I43" s="1355"/>
      <c r="J43" s="1355"/>
      <c r="K43" s="1355"/>
      <c r="L43" s="1355"/>
      <c r="M43" s="232" t="s">
        <v>24</v>
      </c>
      <c r="N43" s="195"/>
      <c r="O43" s="195"/>
      <c r="P43" s="36"/>
      <c r="Q43" s="35"/>
      <c r="R43" s="1147"/>
      <c r="S43" s="1148"/>
      <c r="T43" s="1349"/>
      <c r="U43" s="1350"/>
      <c r="V43" s="1343">
        <f>V44</f>
        <v>7760000</v>
      </c>
      <c r="W43" s="1344"/>
      <c r="X43" s="1345"/>
      <c r="Z43" s="78">
        <f>16288000-X37</f>
        <v>5050000</v>
      </c>
    </row>
    <row r="44" spans="1:26">
      <c r="A44" s="1354" t="s">
        <v>640</v>
      </c>
      <c r="B44" s="1355"/>
      <c r="C44" s="1355"/>
      <c r="D44" s="1355"/>
      <c r="E44" s="1355"/>
      <c r="F44" s="1355"/>
      <c r="G44" s="1355"/>
      <c r="H44" s="1355"/>
      <c r="I44" s="1355"/>
      <c r="J44" s="1355"/>
      <c r="K44" s="1355"/>
      <c r="L44" s="1355"/>
      <c r="M44" s="232" t="s">
        <v>204</v>
      </c>
      <c r="N44" s="195"/>
      <c r="O44" s="195"/>
      <c r="P44" s="36"/>
      <c r="Q44" s="35"/>
      <c r="R44" s="321"/>
      <c r="S44" s="322"/>
      <c r="T44" s="323"/>
      <c r="U44" s="323"/>
      <c r="V44" s="1349">
        <f>X46+X48</f>
        <v>7760000</v>
      </c>
      <c r="W44" s="1352"/>
      <c r="X44" s="1353"/>
    </row>
    <row r="45" spans="1:26">
      <c r="A45" s="1749" t="s">
        <v>641</v>
      </c>
      <c r="B45" s="1750"/>
      <c r="C45" s="1750"/>
      <c r="D45" s="1750"/>
      <c r="E45" s="1750"/>
      <c r="F45" s="1750"/>
      <c r="G45" s="1750"/>
      <c r="H45" s="1750"/>
      <c r="I45" s="1750"/>
      <c r="J45" s="1750"/>
      <c r="K45" s="1750"/>
      <c r="L45" s="1750"/>
      <c r="M45" s="35" t="s">
        <v>371</v>
      </c>
      <c r="N45" s="195"/>
      <c r="O45" s="195"/>
      <c r="P45" s="36"/>
      <c r="Q45" s="817"/>
      <c r="R45" s="1147"/>
      <c r="S45" s="1148"/>
      <c r="T45" s="1349"/>
      <c r="U45" s="1352"/>
      <c r="V45" s="1349"/>
      <c r="W45" s="1352"/>
      <c r="X45" s="1353"/>
      <c r="Z45" s="78"/>
    </row>
    <row r="46" spans="1:26" ht="13.5" customHeight="1">
      <c r="A46" s="927"/>
      <c r="B46" s="928"/>
      <c r="C46" s="928"/>
      <c r="D46" s="928"/>
      <c r="E46" s="928"/>
      <c r="F46" s="928"/>
      <c r="G46" s="928"/>
      <c r="H46" s="928"/>
      <c r="I46" s="928"/>
      <c r="J46" s="928"/>
      <c r="K46" s="928"/>
      <c r="L46" s="928"/>
      <c r="M46" s="35" t="s">
        <v>1101</v>
      </c>
      <c r="N46" s="929"/>
      <c r="O46" s="929"/>
      <c r="P46" s="36"/>
      <c r="Q46" s="916">
        <v>1</v>
      </c>
      <c r="R46" s="1147" t="s">
        <v>651</v>
      </c>
      <c r="S46" s="1148"/>
      <c r="T46" s="1349">
        <v>5000000</v>
      </c>
      <c r="U46" s="1352"/>
      <c r="V46" s="919"/>
      <c r="W46" s="920"/>
      <c r="X46" s="921">
        <f>Q46*T46</f>
        <v>5000000</v>
      </c>
      <c r="Z46" s="78"/>
    </row>
    <row r="47" spans="1:26">
      <c r="A47" s="1749" t="s">
        <v>646</v>
      </c>
      <c r="B47" s="1750"/>
      <c r="C47" s="1750"/>
      <c r="D47" s="1750"/>
      <c r="E47" s="1750"/>
      <c r="F47" s="1750"/>
      <c r="G47" s="1750"/>
      <c r="H47" s="1750"/>
      <c r="I47" s="1750"/>
      <c r="J47" s="1750"/>
      <c r="K47" s="1750"/>
      <c r="L47" s="1750"/>
      <c r="M47" s="1740" t="s">
        <v>647</v>
      </c>
      <c r="N47" s="1278"/>
      <c r="O47" s="1278"/>
      <c r="P47" s="1351"/>
      <c r="Q47" s="817"/>
      <c r="R47" s="1147"/>
      <c r="S47" s="1148"/>
      <c r="T47" s="1349"/>
      <c r="U47" s="1352"/>
      <c r="V47" s="1349"/>
      <c r="W47" s="1146"/>
      <c r="X47" s="1149"/>
      <c r="Z47" s="78"/>
    </row>
    <row r="48" spans="1:26">
      <c r="A48" s="927"/>
      <c r="B48" s="928"/>
      <c r="C48" s="928"/>
      <c r="D48" s="928"/>
      <c r="E48" s="928"/>
      <c r="F48" s="928"/>
      <c r="G48" s="928"/>
      <c r="H48" s="928"/>
      <c r="I48" s="928"/>
      <c r="J48" s="928"/>
      <c r="K48" s="928"/>
      <c r="L48" s="928"/>
      <c r="M48" s="1740" t="s">
        <v>1102</v>
      </c>
      <c r="N48" s="1278"/>
      <c r="O48" s="1278"/>
      <c r="P48" s="1351"/>
      <c r="Q48" s="916">
        <v>12</v>
      </c>
      <c r="R48" s="1147" t="s">
        <v>650</v>
      </c>
      <c r="S48" s="1148"/>
      <c r="T48" s="1349">
        <v>230000</v>
      </c>
      <c r="U48" s="1352"/>
      <c r="V48" s="919"/>
      <c r="W48" s="917"/>
      <c r="X48" s="921">
        <f>Q48*T48</f>
        <v>2760000</v>
      </c>
      <c r="Z48" s="78"/>
    </row>
    <row r="49" spans="1:26">
      <c r="A49" s="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36"/>
      <c r="M49" s="35"/>
      <c r="N49" s="195"/>
      <c r="O49" s="195"/>
      <c r="P49" s="36"/>
      <c r="Q49" s="35"/>
      <c r="R49" s="35"/>
      <c r="S49" s="36"/>
      <c r="T49" s="195"/>
      <c r="U49" s="195"/>
      <c r="V49" s="33"/>
      <c r="W49" s="3"/>
      <c r="X49" s="4"/>
    </row>
    <row r="50" spans="1:26" ht="15.75" thickBot="1">
      <c r="A50" s="1139" t="s">
        <v>110</v>
      </c>
      <c r="B50" s="1140"/>
      <c r="C50" s="1140"/>
      <c r="D50" s="1140"/>
      <c r="E50" s="1140"/>
      <c r="F50" s="1140"/>
      <c r="G50" s="1140"/>
      <c r="H50" s="1140"/>
      <c r="I50" s="1140"/>
      <c r="J50" s="1140"/>
      <c r="K50" s="1140"/>
      <c r="L50" s="1140"/>
      <c r="M50" s="1140"/>
      <c r="N50" s="1140"/>
      <c r="O50" s="1140"/>
      <c r="P50" s="1140"/>
      <c r="Q50" s="1140"/>
      <c r="R50" s="1140"/>
      <c r="S50" s="1140"/>
      <c r="T50" s="1140"/>
      <c r="U50" s="1327"/>
      <c r="V50" s="1429">
        <f>V30+X37+V43</f>
        <v>22718000</v>
      </c>
      <c r="W50" s="1430"/>
      <c r="X50" s="1431"/>
    </row>
    <row r="51" spans="1:26" ht="15.75" thickBot="1">
      <c r="A51" s="819" t="s">
        <v>105</v>
      </c>
      <c r="B51" s="820"/>
      <c r="C51" s="820"/>
      <c r="D51" s="820"/>
      <c r="E51" s="820"/>
      <c r="F51" s="820"/>
      <c r="G51" s="820"/>
      <c r="H51" s="820"/>
      <c r="I51" s="820"/>
      <c r="J51" s="820"/>
      <c r="K51" s="820"/>
      <c r="L51" s="820"/>
      <c r="M51" s="820"/>
      <c r="N51" s="820"/>
      <c r="O51" s="820"/>
      <c r="P51" s="820"/>
      <c r="Q51" s="820"/>
      <c r="R51" s="1743"/>
      <c r="S51" s="1743"/>
      <c r="T51" s="1743"/>
      <c r="U51" s="1743"/>
      <c r="V51" s="1743"/>
      <c r="W51" s="1743"/>
      <c r="X51" s="1744"/>
    </row>
    <row r="52" spans="1:26">
      <c r="A52" s="3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206" t="s">
        <v>584</v>
      </c>
      <c r="S52" s="1206"/>
      <c r="T52" s="1206"/>
      <c r="U52" s="1206"/>
      <c r="V52" s="1206"/>
      <c r="W52" s="1206"/>
      <c r="X52" s="1207"/>
      <c r="Z52" s="79"/>
    </row>
    <row r="53" spans="1:26">
      <c r="A53" s="35" t="s">
        <v>106</v>
      </c>
      <c r="B53" s="195"/>
      <c r="C53" s="195"/>
      <c r="D53" s="195"/>
      <c r="E53" s="66" t="s">
        <v>17</v>
      </c>
      <c r="F53" s="1422">
        <v>5679500</v>
      </c>
      <c r="G53" s="1422"/>
      <c r="H53" s="1422"/>
      <c r="I53" s="1422"/>
      <c r="J53" s="1422"/>
      <c r="K53" s="1422"/>
      <c r="L53" s="1422"/>
      <c r="M53" s="195"/>
      <c r="N53" s="195"/>
      <c r="O53" s="195"/>
      <c r="P53" s="195"/>
      <c r="Q53" s="195"/>
      <c r="R53" s="1209" t="s">
        <v>585</v>
      </c>
      <c r="S53" s="1209"/>
      <c r="T53" s="1209"/>
      <c r="U53" s="1209"/>
      <c r="V53" s="1209"/>
      <c r="W53" s="1209"/>
      <c r="X53" s="1210"/>
    </row>
    <row r="54" spans="1:26">
      <c r="A54" s="35" t="s">
        <v>107</v>
      </c>
      <c r="B54" s="195"/>
      <c r="C54" s="195"/>
      <c r="D54" s="195"/>
      <c r="E54" s="66" t="s">
        <v>17</v>
      </c>
      <c r="F54" s="1422">
        <v>5679500</v>
      </c>
      <c r="G54" s="1422"/>
      <c r="H54" s="1422"/>
      <c r="I54" s="1422"/>
      <c r="J54" s="1422"/>
      <c r="K54" s="1422"/>
      <c r="L54" s="1422"/>
      <c r="M54" s="195"/>
      <c r="N54" s="195"/>
      <c r="O54" s="195"/>
      <c r="P54" s="195"/>
      <c r="Q54" s="195"/>
      <c r="R54" s="197"/>
      <c r="S54" s="197"/>
      <c r="T54" s="815"/>
      <c r="U54" s="815"/>
      <c r="V54" s="815"/>
      <c r="W54" s="815"/>
      <c r="X54" s="234"/>
    </row>
    <row r="55" spans="1:26">
      <c r="A55" s="35" t="s">
        <v>108</v>
      </c>
      <c r="B55" s="195"/>
      <c r="C55" s="195"/>
      <c r="D55" s="195"/>
      <c r="E55" s="66" t="s">
        <v>17</v>
      </c>
      <c r="F55" s="1422">
        <v>5679500</v>
      </c>
      <c r="G55" s="1422"/>
      <c r="H55" s="1422"/>
      <c r="I55" s="1422"/>
      <c r="J55" s="1422"/>
      <c r="K55" s="1422"/>
      <c r="L55" s="1422"/>
      <c r="M55" s="195"/>
      <c r="N55" s="195"/>
      <c r="O55" s="195"/>
      <c r="P55" s="195"/>
      <c r="Q55" s="195"/>
      <c r="R55" s="197"/>
      <c r="S55" s="197"/>
      <c r="T55" s="197"/>
      <c r="U55" s="197"/>
      <c r="V55" s="197"/>
      <c r="W55" s="197"/>
      <c r="X55" s="234"/>
    </row>
    <row r="56" spans="1:26">
      <c r="A56" s="35" t="s">
        <v>109</v>
      </c>
      <c r="B56" s="195"/>
      <c r="C56" s="195"/>
      <c r="D56" s="195"/>
      <c r="E56" s="104" t="s">
        <v>17</v>
      </c>
      <c r="F56" s="1751">
        <v>5679500</v>
      </c>
      <c r="G56" s="1751"/>
      <c r="H56" s="1751"/>
      <c r="I56" s="1751"/>
      <c r="J56" s="1751"/>
      <c r="K56" s="1751"/>
      <c r="L56" s="1751"/>
      <c r="M56" s="195"/>
      <c r="N56" s="195"/>
      <c r="O56" s="195"/>
      <c r="P56" s="195"/>
      <c r="Q56" s="195"/>
      <c r="R56" s="1357"/>
      <c r="S56" s="1357"/>
      <c r="T56" s="1357"/>
      <c r="U56" s="1357"/>
      <c r="V56" s="1357"/>
      <c r="W56" s="1357"/>
      <c r="X56" s="1358"/>
      <c r="Z56" s="580"/>
    </row>
    <row r="57" spans="1:26">
      <c r="A57" s="35" t="s">
        <v>15</v>
      </c>
      <c r="B57" s="195"/>
      <c r="C57" s="195"/>
      <c r="D57" s="195"/>
      <c r="E57" s="66" t="s">
        <v>17</v>
      </c>
      <c r="F57" s="1422">
        <f>SUM(F53:L56)</f>
        <v>22718000</v>
      </c>
      <c r="G57" s="1422"/>
      <c r="H57" s="1422"/>
      <c r="I57" s="1422"/>
      <c r="J57" s="1422"/>
      <c r="K57" s="1422"/>
      <c r="L57" s="1422"/>
      <c r="M57" s="195"/>
      <c r="N57" s="195"/>
      <c r="O57" s="195"/>
      <c r="P57" s="195"/>
      <c r="Q57" s="195"/>
      <c r="R57" s="1357" t="s">
        <v>849</v>
      </c>
      <c r="S57" s="1357"/>
      <c r="T57" s="1357"/>
      <c r="U57" s="1357"/>
      <c r="V57" s="1357"/>
      <c r="W57" s="1357"/>
      <c r="X57" s="1358"/>
      <c r="Z57" s="79"/>
    </row>
    <row r="58" spans="1:26">
      <c r="A58" s="35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359" t="s">
        <v>914</v>
      </c>
      <c r="S58" s="1359"/>
      <c r="T58" s="1359"/>
      <c r="U58" s="1359"/>
      <c r="V58" s="1359"/>
      <c r="W58" s="1359"/>
      <c r="X58" s="1360"/>
    </row>
    <row r="59" spans="1:26">
      <c r="A59" s="3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1428"/>
      <c r="S59" s="1143"/>
      <c r="T59" s="1143"/>
      <c r="U59" s="1143"/>
      <c r="V59" s="1143"/>
      <c r="W59" s="1143"/>
      <c r="X59" s="1392"/>
    </row>
    <row r="60" spans="1:26">
      <c r="A60" s="1418" t="s">
        <v>1018</v>
      </c>
      <c r="B60" s="1400"/>
      <c r="C60" s="1400"/>
      <c r="D60" s="1400"/>
      <c r="E60" s="1400"/>
      <c r="F60" s="1400"/>
      <c r="G60" s="1400"/>
      <c r="H60" s="1400"/>
      <c r="I60" s="1400"/>
      <c r="J60" s="1400"/>
      <c r="K60" s="1400"/>
      <c r="L60" s="1400"/>
      <c r="M60" s="1400"/>
      <c r="N60" s="1400"/>
      <c r="O60" s="1400"/>
      <c r="P60" s="1400"/>
      <c r="Q60" s="3"/>
      <c r="R60" s="1456" t="s">
        <v>1013</v>
      </c>
      <c r="S60" s="1146"/>
      <c r="T60" s="1146"/>
      <c r="U60" s="1146"/>
      <c r="V60" s="1146"/>
      <c r="W60" s="1146"/>
      <c r="X60" s="1149"/>
    </row>
    <row r="61" spans="1:26">
      <c r="A61" s="266"/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195"/>
      <c r="R61" s="306"/>
      <c r="S61" s="308"/>
      <c r="T61" s="308"/>
      <c r="U61" s="308"/>
      <c r="V61" s="308"/>
      <c r="W61" s="308"/>
      <c r="X61" s="307"/>
    </row>
    <row r="62" spans="1:26">
      <c r="A62" s="5">
        <v>1</v>
      </c>
      <c r="B62" s="195" t="s">
        <v>460</v>
      </c>
      <c r="C62" s="195"/>
      <c r="D62" s="195"/>
      <c r="E62" s="195"/>
      <c r="F62" s="195"/>
      <c r="G62" s="195"/>
      <c r="H62" s="195"/>
      <c r="I62" s="195"/>
      <c r="J62" s="195"/>
      <c r="K62" s="195" t="s">
        <v>193</v>
      </c>
      <c r="L62" s="195"/>
      <c r="M62" s="195"/>
      <c r="N62" s="195"/>
      <c r="O62" s="195"/>
      <c r="P62" s="195"/>
      <c r="Q62" s="195"/>
      <c r="R62" s="1147" t="s">
        <v>155</v>
      </c>
      <c r="S62" s="1146"/>
      <c r="T62" s="1146"/>
      <c r="U62" s="1146"/>
      <c r="V62" s="1146"/>
      <c r="W62" s="1146"/>
      <c r="X62" s="1149"/>
    </row>
    <row r="63" spans="1:26">
      <c r="A63" s="5"/>
      <c r="B63" t="s">
        <v>1019</v>
      </c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147" t="s">
        <v>114</v>
      </c>
      <c r="S63" s="1146"/>
      <c r="T63" s="1146"/>
      <c r="U63" s="1146"/>
      <c r="V63" s="1146"/>
      <c r="W63" s="1146"/>
      <c r="X63" s="1149"/>
    </row>
    <row r="64" spans="1:26">
      <c r="A64" s="5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35"/>
      <c r="S64" s="195"/>
      <c r="T64" s="195"/>
      <c r="U64" s="195"/>
      <c r="V64" s="195"/>
      <c r="W64" s="195"/>
      <c r="X64" s="2"/>
    </row>
    <row r="65" spans="1:24">
      <c r="A65" s="5">
        <v>2</v>
      </c>
      <c r="B65" s="195" t="s">
        <v>194</v>
      </c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 t="s">
        <v>195</v>
      </c>
      <c r="O65" s="195"/>
      <c r="P65" s="195"/>
      <c r="Q65" s="195"/>
      <c r="R65" s="35"/>
      <c r="S65" s="195"/>
      <c r="T65" s="195"/>
      <c r="U65" s="195"/>
      <c r="V65" s="195"/>
      <c r="W65" s="195"/>
      <c r="X65" s="2"/>
    </row>
    <row r="66" spans="1:24">
      <c r="A66" s="5"/>
      <c r="B66" t="s">
        <v>1019</v>
      </c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35"/>
      <c r="S66" s="195"/>
      <c r="T66" s="195"/>
      <c r="U66" s="195"/>
      <c r="V66" s="195"/>
      <c r="W66" s="195"/>
      <c r="X66" s="2"/>
    </row>
    <row r="67" spans="1:24">
      <c r="A67" s="5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427" t="s">
        <v>115</v>
      </c>
      <c r="S67" s="1357"/>
      <c r="T67" s="1357"/>
      <c r="U67" s="1357"/>
      <c r="V67" s="1357"/>
      <c r="W67" s="1357"/>
      <c r="X67" s="1358"/>
    </row>
    <row r="68" spans="1:24">
      <c r="A68" s="5"/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147" t="s">
        <v>116</v>
      </c>
      <c r="S68" s="1146"/>
      <c r="T68" s="1146"/>
      <c r="U68" s="1146"/>
      <c r="V68" s="1146"/>
      <c r="W68" s="1146"/>
      <c r="X68" s="1149"/>
    </row>
    <row r="69" spans="1:24" ht="15.75" thickBot="1">
      <c r="A69" s="4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  <c r="S69" s="49"/>
      <c r="T69" s="49"/>
      <c r="U69" s="49"/>
      <c r="V69" s="49"/>
      <c r="W69" s="49"/>
      <c r="X69" s="86"/>
    </row>
  </sheetData>
  <mergeCells count="117">
    <mergeCell ref="M38:P38"/>
    <mergeCell ref="R46:S46"/>
    <mergeCell ref="T46:U46"/>
    <mergeCell ref="M48:P48"/>
    <mergeCell ref="R48:S48"/>
    <mergeCell ref="T48:U48"/>
    <mergeCell ref="R53:X53"/>
    <mergeCell ref="P1:P2"/>
    <mergeCell ref="Q1:Q2"/>
    <mergeCell ref="R1:R2"/>
    <mergeCell ref="S1:S2"/>
    <mergeCell ref="T1:T2"/>
    <mergeCell ref="U1:U2"/>
    <mergeCell ref="V1:V2"/>
    <mergeCell ref="M40:P40"/>
    <mergeCell ref="R40:S40"/>
    <mergeCell ref="T39:U39"/>
    <mergeCell ref="T40:U40"/>
    <mergeCell ref="R31:S31"/>
    <mergeCell ref="T31:U31"/>
    <mergeCell ref="A14:X14"/>
    <mergeCell ref="A15:F15"/>
    <mergeCell ref="I15:T15"/>
    <mergeCell ref="U15:X15"/>
    <mergeCell ref="A5:U5"/>
    <mergeCell ref="A6:U6"/>
    <mergeCell ref="A27:L27"/>
    <mergeCell ref="V27:X27"/>
    <mergeCell ref="A28:L28"/>
    <mergeCell ref="V28:X28"/>
    <mergeCell ref="A29:L29"/>
    <mergeCell ref="V29:X29"/>
    <mergeCell ref="A23:L23"/>
    <mergeCell ref="M23:P24"/>
    <mergeCell ref="Q23:U23"/>
    <mergeCell ref="V23:X23"/>
    <mergeCell ref="A24:L24"/>
    <mergeCell ref="R24:S24"/>
    <mergeCell ref="T24:U24"/>
    <mergeCell ref="V24:X24"/>
    <mergeCell ref="U16:X16"/>
    <mergeCell ref="V17:X17"/>
    <mergeCell ref="U19:X19"/>
    <mergeCell ref="A21:X21"/>
    <mergeCell ref="A22:X22"/>
    <mergeCell ref="U18:X18"/>
    <mergeCell ref="V31:X31"/>
    <mergeCell ref="A26:L26"/>
    <mergeCell ref="M26:P26"/>
    <mergeCell ref="V26:X26"/>
    <mergeCell ref="A25:L25"/>
    <mergeCell ref="M25:P25"/>
    <mergeCell ref="R25:S25"/>
    <mergeCell ref="T25:U25"/>
    <mergeCell ref="V25:X25"/>
    <mergeCell ref="A30:L30"/>
    <mergeCell ref="V30:X30"/>
    <mergeCell ref="A1:O2"/>
    <mergeCell ref="W1:X1"/>
    <mergeCell ref="W2:X2"/>
    <mergeCell ref="A3:O4"/>
    <mergeCell ref="P3:P4"/>
    <mergeCell ref="Q3:Q4"/>
    <mergeCell ref="R3:R4"/>
    <mergeCell ref="S3:S4"/>
    <mergeCell ref="T3:T4"/>
    <mergeCell ref="U3:U4"/>
    <mergeCell ref="V3:V4"/>
    <mergeCell ref="W4:X4"/>
    <mergeCell ref="R68:X68"/>
    <mergeCell ref="A60:P60"/>
    <mergeCell ref="R60:X60"/>
    <mergeCell ref="R62:X62"/>
    <mergeCell ref="R63:X63"/>
    <mergeCell ref="R67:X67"/>
    <mergeCell ref="A35:L35"/>
    <mergeCell ref="A36:L36"/>
    <mergeCell ref="A37:L37"/>
    <mergeCell ref="M37:P37"/>
    <mergeCell ref="R59:X59"/>
    <mergeCell ref="A50:U50"/>
    <mergeCell ref="V50:X50"/>
    <mergeCell ref="R52:X52"/>
    <mergeCell ref="F53:L53"/>
    <mergeCell ref="F54:L54"/>
    <mergeCell ref="F55:L55"/>
    <mergeCell ref="A43:L43"/>
    <mergeCell ref="A44:L44"/>
    <mergeCell ref="V44:X44"/>
    <mergeCell ref="A47:L47"/>
    <mergeCell ref="M47:P47"/>
    <mergeCell ref="A45:L45"/>
    <mergeCell ref="F56:L56"/>
    <mergeCell ref="F57:L57"/>
    <mergeCell ref="R57:X57"/>
    <mergeCell ref="R58:X58"/>
    <mergeCell ref="R33:S33"/>
    <mergeCell ref="V33:X33"/>
    <mergeCell ref="M32:P32"/>
    <mergeCell ref="R32:S32"/>
    <mergeCell ref="T32:U32"/>
    <mergeCell ref="V32:X32"/>
    <mergeCell ref="T47:U47"/>
    <mergeCell ref="R47:S47"/>
    <mergeCell ref="R43:S43"/>
    <mergeCell ref="T43:U43"/>
    <mergeCell ref="V43:X43"/>
    <mergeCell ref="V47:X47"/>
    <mergeCell ref="R45:S45"/>
    <mergeCell ref="T45:U45"/>
    <mergeCell ref="V45:X45"/>
    <mergeCell ref="M41:P41"/>
    <mergeCell ref="R51:X51"/>
    <mergeCell ref="R56:X56"/>
    <mergeCell ref="R39:S39"/>
    <mergeCell ref="R41:S41"/>
    <mergeCell ref="T41:U41"/>
  </mergeCells>
  <pageMargins left="0.70866141732283505" right="0.70866141732283505" top="0.74803149606299202" bottom="0.74803149606299202" header="0.31496062992126" footer="0.31496062992126"/>
  <pageSetup paperSize="5" scale="80" fitToWidth="0" fitToHeight="0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B60"/>
  <sheetViews>
    <sheetView topLeftCell="A37" workbookViewId="0">
      <selection activeCell="Z12" sqref="Z12"/>
    </sheetView>
  </sheetViews>
  <sheetFormatPr defaultRowHeight="15"/>
  <cols>
    <col min="1" max="1" width="2.5703125" customWidth="1"/>
    <col min="2" max="2" width="2.140625" customWidth="1"/>
    <col min="3" max="3" width="2.42578125" customWidth="1"/>
    <col min="4" max="4" width="3.5703125" customWidth="1"/>
    <col min="5" max="5" width="3.28515625" customWidth="1"/>
    <col min="6" max="6" width="2.28515625" customWidth="1"/>
    <col min="7" max="9" width="2.42578125" customWidth="1"/>
    <col min="10" max="10" width="1.85546875" customWidth="1"/>
    <col min="11" max="11" width="2.7109375" customWidth="1"/>
    <col min="12" max="12" width="2.28515625" customWidth="1"/>
    <col min="15" max="15" width="7.85546875" customWidth="1"/>
    <col min="16" max="16" width="6" customWidth="1"/>
    <col min="17" max="17" width="5.42578125" customWidth="1"/>
    <col min="18" max="18" width="5.140625" customWidth="1"/>
    <col min="19" max="19" width="4.85546875" customWidth="1"/>
    <col min="20" max="20" width="5.42578125" customWidth="1"/>
    <col min="21" max="21" width="5.140625" customWidth="1"/>
    <col min="22" max="22" width="4.42578125" customWidth="1"/>
    <col min="23" max="23" width="5.140625" customWidth="1"/>
    <col min="24" max="24" width="11.7109375" customWidth="1"/>
    <col min="28" max="28" width="15" customWidth="1"/>
  </cols>
  <sheetData>
    <row r="1" spans="1:24" ht="15" customHeight="1">
      <c r="A1" s="1386" t="s">
        <v>0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8"/>
      <c r="P1" s="1281">
        <v>3.02</v>
      </c>
      <c r="Q1" s="1282">
        <v>3.02</v>
      </c>
      <c r="R1" s="1445" t="s">
        <v>157</v>
      </c>
      <c r="S1" s="1445" t="s">
        <v>157</v>
      </c>
      <c r="T1" s="1445" t="s">
        <v>338</v>
      </c>
      <c r="U1" s="1282" t="s">
        <v>158</v>
      </c>
      <c r="V1" s="1435" t="s">
        <v>159</v>
      </c>
      <c r="W1" s="1161"/>
      <c r="X1" s="1453"/>
    </row>
    <row r="2" spans="1:24" ht="15" customHeight="1">
      <c r="A2" s="1389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1"/>
      <c r="P2" s="1375"/>
      <c r="Q2" s="1762"/>
      <c r="R2" s="1377"/>
      <c r="S2" s="1377"/>
      <c r="T2" s="1377"/>
      <c r="U2" s="1376"/>
      <c r="V2" s="1374"/>
      <c r="W2" s="1164" t="s">
        <v>1</v>
      </c>
      <c r="X2" s="1393"/>
    </row>
    <row r="3" spans="1:24" ht="15" customHeight="1">
      <c r="A3" s="1379" t="s">
        <v>2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1"/>
      <c r="P3" s="1375"/>
      <c r="Q3" s="1376"/>
      <c r="R3" s="1377"/>
      <c r="S3" s="1377"/>
      <c r="T3" s="1377"/>
      <c r="U3" s="1376"/>
      <c r="V3" s="1374"/>
      <c r="W3" s="871"/>
      <c r="X3" s="872"/>
    </row>
    <row r="4" spans="1:24" ht="15" customHeight="1">
      <c r="A4" s="1382"/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4"/>
      <c r="P4" s="1284"/>
      <c r="Q4" s="1761"/>
      <c r="R4" s="1378"/>
      <c r="S4" s="1378"/>
      <c r="T4" s="1378"/>
      <c r="U4" s="1285"/>
      <c r="V4" s="1414"/>
      <c r="W4" s="1164" t="s">
        <v>1043</v>
      </c>
      <c r="X4" s="1393"/>
    </row>
    <row r="5" spans="1:24">
      <c r="A5" s="1515" t="s">
        <v>717</v>
      </c>
      <c r="B5" s="1516"/>
      <c r="C5" s="1516"/>
      <c r="D5" s="1516"/>
      <c r="E5" s="1516"/>
      <c r="F5" s="1516"/>
      <c r="G5" s="1516"/>
      <c r="H5" s="1516"/>
      <c r="I5" s="1516"/>
      <c r="J5" s="1516"/>
      <c r="K5" s="1516"/>
      <c r="L5" s="1516"/>
      <c r="M5" s="1516"/>
      <c r="N5" s="1516"/>
      <c r="O5" s="1516"/>
      <c r="P5" s="1516"/>
      <c r="Q5" s="1516"/>
      <c r="R5" s="1516"/>
      <c r="S5" s="1516"/>
      <c r="T5" s="1516"/>
      <c r="U5" s="1516"/>
      <c r="V5" s="1517"/>
      <c r="W5" s="852"/>
      <c r="X5" s="853"/>
    </row>
    <row r="6" spans="1:24">
      <c r="A6" s="1518" t="s">
        <v>922</v>
      </c>
      <c r="B6" s="1519"/>
      <c r="C6" s="1519"/>
      <c r="D6" s="1519"/>
      <c r="E6" s="1519"/>
      <c r="F6" s="1519"/>
      <c r="G6" s="1519"/>
      <c r="H6" s="1519"/>
      <c r="I6" s="1519"/>
      <c r="J6" s="1519"/>
      <c r="K6" s="1519"/>
      <c r="L6" s="1519"/>
      <c r="M6" s="1519"/>
      <c r="N6" s="1519"/>
      <c r="O6" s="1519"/>
      <c r="P6" s="1519"/>
      <c r="Q6" s="1519"/>
      <c r="R6" s="1519"/>
      <c r="S6" s="1519"/>
      <c r="T6" s="1519"/>
      <c r="U6" s="1519"/>
      <c r="V6" s="1520"/>
      <c r="W6" s="850"/>
      <c r="X6" s="851"/>
    </row>
    <row r="7" spans="1:24">
      <c r="A7" s="5" t="s">
        <v>5</v>
      </c>
      <c r="B7" s="195"/>
      <c r="C7" s="195"/>
      <c r="D7" s="195"/>
      <c r="E7" s="195"/>
      <c r="F7" s="195"/>
      <c r="G7" s="195"/>
      <c r="H7" s="195"/>
      <c r="I7" s="195"/>
      <c r="J7" s="195"/>
      <c r="K7" s="195" t="s">
        <v>6</v>
      </c>
      <c r="L7" s="53" t="s">
        <v>528</v>
      </c>
      <c r="M7" s="53"/>
      <c r="N7" s="53"/>
      <c r="O7" s="53"/>
      <c r="P7" s="53" t="s">
        <v>8</v>
      </c>
      <c r="Q7" s="53"/>
      <c r="R7" s="53"/>
      <c r="S7" s="53"/>
      <c r="T7" s="53"/>
      <c r="U7" s="53"/>
      <c r="V7" s="195"/>
      <c r="W7" s="195"/>
      <c r="X7" s="2"/>
    </row>
    <row r="8" spans="1:24">
      <c r="A8" s="5" t="s">
        <v>9</v>
      </c>
      <c r="B8" s="195"/>
      <c r="C8" s="195"/>
      <c r="D8" s="195"/>
      <c r="E8" s="195"/>
      <c r="F8" s="195"/>
      <c r="G8" s="195"/>
      <c r="H8" s="195"/>
      <c r="I8" s="195"/>
      <c r="J8" s="195"/>
      <c r="K8" s="195" t="s">
        <v>6</v>
      </c>
      <c r="L8" s="6" t="s">
        <v>529</v>
      </c>
      <c r="M8" s="6"/>
      <c r="N8" s="195"/>
      <c r="O8" s="195"/>
      <c r="P8" s="195" t="s">
        <v>531</v>
      </c>
      <c r="Q8" s="195"/>
      <c r="R8" s="195"/>
      <c r="S8" s="195"/>
      <c r="T8" s="195"/>
      <c r="U8" s="195"/>
      <c r="V8" s="195"/>
      <c r="W8" s="195"/>
      <c r="X8" s="2"/>
    </row>
    <row r="9" spans="1:24">
      <c r="A9" s="5" t="s">
        <v>162</v>
      </c>
      <c r="B9" s="195"/>
      <c r="C9" s="195"/>
      <c r="D9" s="195"/>
      <c r="E9" s="195"/>
      <c r="F9" s="195"/>
      <c r="G9" s="195"/>
      <c r="H9" s="195"/>
      <c r="I9" s="195"/>
      <c r="J9" s="195"/>
      <c r="K9" s="195" t="s">
        <v>6</v>
      </c>
      <c r="L9" s="195" t="s">
        <v>530</v>
      </c>
      <c r="M9" s="195"/>
      <c r="N9" s="195"/>
      <c r="O9" s="195"/>
      <c r="P9" s="195" t="s">
        <v>163</v>
      </c>
      <c r="Q9" s="195"/>
      <c r="R9" s="195"/>
      <c r="S9" s="195"/>
      <c r="T9" s="195"/>
      <c r="U9" s="195"/>
      <c r="V9" s="195"/>
      <c r="W9" s="195"/>
      <c r="X9" s="2"/>
    </row>
    <row r="10" spans="1:24">
      <c r="A10" s="5" t="s">
        <v>58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 t="s">
        <v>6</v>
      </c>
      <c r="L10" s="195" t="s">
        <v>601</v>
      </c>
      <c r="M10" s="195"/>
      <c r="N10" s="195"/>
      <c r="O10" s="195"/>
      <c r="P10" s="45" t="s">
        <v>339</v>
      </c>
      <c r="Q10" s="195"/>
      <c r="R10" s="195"/>
      <c r="S10" s="195"/>
      <c r="T10" s="195"/>
      <c r="U10" s="195"/>
      <c r="V10" s="195"/>
      <c r="W10" s="195"/>
      <c r="X10" s="2"/>
    </row>
    <row r="11" spans="1:24">
      <c r="A11" s="5" t="s">
        <v>165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 t="s">
        <v>6</v>
      </c>
      <c r="L11" s="195" t="s">
        <v>923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2"/>
    </row>
    <row r="12" spans="1:24">
      <c r="A12" s="5" t="s">
        <v>164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 t="s">
        <v>6</v>
      </c>
      <c r="L12" s="195" t="s">
        <v>919</v>
      </c>
      <c r="M12" s="195"/>
      <c r="N12" s="195"/>
      <c r="O12" s="195"/>
      <c r="P12" s="195"/>
      <c r="Q12" s="45"/>
      <c r="R12" s="195"/>
      <c r="S12" s="195"/>
      <c r="T12" s="195"/>
      <c r="U12" s="195"/>
      <c r="V12" s="195"/>
      <c r="W12" s="195"/>
      <c r="X12" s="2"/>
    </row>
    <row r="13" spans="1:24">
      <c r="A13" s="5" t="s">
        <v>167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 t="s">
        <v>6</v>
      </c>
      <c r="L13" s="195" t="s">
        <v>68</v>
      </c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2"/>
    </row>
    <row r="14" spans="1:24">
      <c r="A14" s="1418" t="s">
        <v>260</v>
      </c>
      <c r="B14" s="1400"/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0"/>
      <c r="U14" s="1400"/>
      <c r="V14" s="1400"/>
      <c r="W14" s="1400"/>
      <c r="X14" s="1405"/>
    </row>
    <row r="15" spans="1:24">
      <c r="A15" s="1418" t="s">
        <v>169</v>
      </c>
      <c r="B15" s="1400"/>
      <c r="C15" s="1400"/>
      <c r="D15" s="1400"/>
      <c r="E15" s="1400"/>
      <c r="F15" s="1400"/>
      <c r="G15" s="324"/>
      <c r="H15" s="324"/>
      <c r="I15" s="1399" t="s">
        <v>170</v>
      </c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3"/>
      <c r="U15" s="1399" t="s">
        <v>171</v>
      </c>
      <c r="V15" s="1400"/>
      <c r="W15" s="1400"/>
      <c r="X15" s="1405"/>
    </row>
    <row r="16" spans="1:24">
      <c r="A16" s="80" t="s">
        <v>172</v>
      </c>
      <c r="B16" s="53"/>
      <c r="C16" s="53"/>
      <c r="D16" s="53"/>
      <c r="E16" s="53"/>
      <c r="F16" s="53"/>
      <c r="G16" s="53"/>
      <c r="H16" s="53"/>
      <c r="I16" s="27" t="s">
        <v>340</v>
      </c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59"/>
      <c r="U16" s="1578">
        <v>1</v>
      </c>
      <c r="V16" s="1579"/>
      <c r="W16" s="1579"/>
      <c r="X16" s="1580"/>
    </row>
    <row r="17" spans="1:24">
      <c r="A17" s="5" t="s">
        <v>174</v>
      </c>
      <c r="B17" s="195"/>
      <c r="C17" s="195"/>
      <c r="D17" s="195"/>
      <c r="E17" s="195"/>
      <c r="F17" s="195"/>
      <c r="G17" s="195"/>
      <c r="H17" s="195"/>
      <c r="I17" s="10" t="s">
        <v>175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36"/>
      <c r="U17" s="102" t="s">
        <v>154</v>
      </c>
      <c r="V17" s="1530">
        <f>V29</f>
        <v>48840000</v>
      </c>
      <c r="W17" s="1530"/>
      <c r="X17" s="1531"/>
    </row>
    <row r="18" spans="1:24">
      <c r="A18" s="5" t="s">
        <v>176</v>
      </c>
      <c r="B18" s="195"/>
      <c r="C18" s="195"/>
      <c r="D18" s="195"/>
      <c r="E18" s="195"/>
      <c r="F18" s="195"/>
      <c r="G18" s="195"/>
      <c r="H18" s="195"/>
      <c r="I18" s="10" t="s">
        <v>341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6"/>
      <c r="U18" s="1456" t="s">
        <v>178</v>
      </c>
      <c r="V18" s="1359"/>
      <c r="W18" s="1359"/>
      <c r="X18" s="1360"/>
    </row>
    <row r="19" spans="1:24">
      <c r="A19" s="68" t="s">
        <v>179</v>
      </c>
      <c r="B19" s="3"/>
      <c r="C19" s="3"/>
      <c r="D19" s="3"/>
      <c r="E19" s="3"/>
      <c r="F19" s="3"/>
      <c r="G19" s="3"/>
      <c r="H19" s="3"/>
      <c r="I19" s="24" t="s">
        <v>342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34"/>
      <c r="U19" s="1455" t="s">
        <v>181</v>
      </c>
      <c r="V19" s="1428"/>
      <c r="W19" s="1428"/>
      <c r="X19" s="1582"/>
    </row>
    <row r="20" spans="1:24">
      <c r="A20" s="5" t="s">
        <v>182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 t="s">
        <v>6</v>
      </c>
      <c r="M20" s="195" t="s">
        <v>920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2"/>
    </row>
    <row r="21" spans="1:24">
      <c r="A21" s="1321" t="s">
        <v>718</v>
      </c>
      <c r="B21" s="1322"/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3"/>
    </row>
    <row r="22" spans="1:24">
      <c r="A22" s="1164" t="s">
        <v>719</v>
      </c>
      <c r="B22" s="1165"/>
      <c r="C22" s="1165"/>
      <c r="D22" s="1165"/>
      <c r="E22" s="1165"/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  <c r="R22" s="1165"/>
      <c r="S22" s="1165"/>
      <c r="T22" s="1165"/>
      <c r="U22" s="1165"/>
      <c r="V22" s="1165"/>
      <c r="W22" s="1165"/>
      <c r="X22" s="1393"/>
    </row>
    <row r="23" spans="1:24">
      <c r="A23" s="1321" t="s">
        <v>13</v>
      </c>
      <c r="B23" s="1322"/>
      <c r="C23" s="1322"/>
      <c r="D23" s="1322"/>
      <c r="E23" s="1322"/>
      <c r="F23" s="1322"/>
      <c r="G23" s="1322"/>
      <c r="H23" s="1322"/>
      <c r="I23" s="1322"/>
      <c r="J23" s="1322"/>
      <c r="K23" s="1322"/>
      <c r="L23" s="1394"/>
      <c r="M23" s="1395" t="s">
        <v>14</v>
      </c>
      <c r="N23" s="1396"/>
      <c r="O23" s="1396"/>
      <c r="P23" s="1397"/>
      <c r="Q23" s="1399" t="s">
        <v>121</v>
      </c>
      <c r="R23" s="1400"/>
      <c r="S23" s="1400"/>
      <c r="T23" s="1400"/>
      <c r="U23" s="1403"/>
      <c r="V23" s="1401" t="s">
        <v>15</v>
      </c>
      <c r="W23" s="1322"/>
      <c r="X23" s="1323"/>
    </row>
    <row r="24" spans="1:24">
      <c r="A24" s="1324" t="s">
        <v>16</v>
      </c>
      <c r="B24" s="1325"/>
      <c r="C24" s="1325"/>
      <c r="D24" s="1325"/>
      <c r="E24" s="1325"/>
      <c r="F24" s="1325"/>
      <c r="G24" s="1325"/>
      <c r="H24" s="1325"/>
      <c r="I24" s="1325"/>
      <c r="J24" s="1325"/>
      <c r="K24" s="1325"/>
      <c r="L24" s="1402"/>
      <c r="M24" s="1398"/>
      <c r="N24" s="1173"/>
      <c r="O24" s="1173"/>
      <c r="P24" s="1174"/>
      <c r="Q24" s="90" t="s">
        <v>122</v>
      </c>
      <c r="R24" s="1399" t="s">
        <v>123</v>
      </c>
      <c r="S24" s="1403"/>
      <c r="T24" s="1399" t="s">
        <v>124</v>
      </c>
      <c r="U24" s="1403"/>
      <c r="V24" s="1404" t="s">
        <v>17</v>
      </c>
      <c r="W24" s="1325"/>
      <c r="X24" s="1326"/>
    </row>
    <row r="25" spans="1:24">
      <c r="A25" s="1418">
        <v>1</v>
      </c>
      <c r="B25" s="1400"/>
      <c r="C25" s="1400"/>
      <c r="D25" s="1400"/>
      <c r="E25" s="1400"/>
      <c r="F25" s="1400"/>
      <c r="G25" s="1400"/>
      <c r="H25" s="1400"/>
      <c r="I25" s="1400"/>
      <c r="J25" s="1400"/>
      <c r="K25" s="1400"/>
      <c r="L25" s="1403"/>
      <c r="M25" s="1399">
        <v>2</v>
      </c>
      <c r="N25" s="1400"/>
      <c r="O25" s="1400"/>
      <c r="P25" s="1403"/>
      <c r="Q25" s="90">
        <v>3</v>
      </c>
      <c r="R25" s="1399">
        <v>4</v>
      </c>
      <c r="S25" s="1403"/>
      <c r="T25" s="1399">
        <v>5</v>
      </c>
      <c r="U25" s="1403"/>
      <c r="V25" s="1399">
        <v>6</v>
      </c>
      <c r="W25" s="1400"/>
      <c r="X25" s="1405"/>
    </row>
    <row r="26" spans="1:24">
      <c r="A26" s="1548" t="s">
        <v>746</v>
      </c>
      <c r="B26" s="1549"/>
      <c r="C26" s="1549"/>
      <c r="D26" s="1549"/>
      <c r="E26" s="1549"/>
      <c r="F26" s="1549"/>
      <c r="G26" s="1549"/>
      <c r="H26" s="1549"/>
      <c r="I26" s="1549"/>
      <c r="J26" s="1549"/>
      <c r="K26" s="1549"/>
      <c r="L26" s="1550"/>
      <c r="M26" s="1420" t="s">
        <v>551</v>
      </c>
      <c r="N26" s="1420"/>
      <c r="O26" s="1420"/>
      <c r="P26" s="1420"/>
      <c r="Q26" s="363"/>
      <c r="R26" s="363"/>
      <c r="S26" s="357"/>
      <c r="T26" s="356"/>
      <c r="U26" s="356"/>
      <c r="V26" s="1581">
        <f>V27</f>
        <v>48840000</v>
      </c>
      <c r="W26" s="1322"/>
      <c r="X26" s="1323"/>
    </row>
    <row r="27" spans="1:24">
      <c r="A27" s="1467" t="s">
        <v>745</v>
      </c>
      <c r="B27" s="1355"/>
      <c r="C27" s="1355"/>
      <c r="D27" s="1355"/>
      <c r="E27" s="1355"/>
      <c r="F27" s="1355"/>
      <c r="G27" s="1355"/>
      <c r="H27" s="1355"/>
      <c r="I27" s="1355"/>
      <c r="J27" s="1355"/>
      <c r="K27" s="1355"/>
      <c r="L27" s="1356"/>
      <c r="M27" s="83" t="s">
        <v>23</v>
      </c>
      <c r="N27" s="84"/>
      <c r="O27" s="84"/>
      <c r="P27" s="85"/>
      <c r="Q27" s="83"/>
      <c r="R27" s="83"/>
      <c r="S27" s="85"/>
      <c r="T27" s="84"/>
      <c r="U27" s="84"/>
      <c r="V27" s="1468">
        <f>V28</f>
        <v>48840000</v>
      </c>
      <c r="W27" s="1424"/>
      <c r="X27" s="1425"/>
    </row>
    <row r="28" spans="1:24">
      <c r="A28" s="1354" t="s">
        <v>602</v>
      </c>
      <c r="B28" s="1355"/>
      <c r="C28" s="1355"/>
      <c r="D28" s="1355"/>
      <c r="E28" s="1355"/>
      <c r="F28" s="1355"/>
      <c r="G28" s="1355"/>
      <c r="H28" s="1355"/>
      <c r="I28" s="1355"/>
      <c r="J28" s="1355"/>
      <c r="K28" s="1355"/>
      <c r="L28" s="1356"/>
      <c r="M28" s="83" t="s">
        <v>216</v>
      </c>
      <c r="N28" s="195"/>
      <c r="O28" s="195"/>
      <c r="P28" s="36"/>
      <c r="Q28" s="35"/>
      <c r="R28" s="35"/>
      <c r="S28" s="36"/>
      <c r="T28" s="195"/>
      <c r="U28" s="195"/>
      <c r="V28" s="1468">
        <f>V29</f>
        <v>48840000</v>
      </c>
      <c r="W28" s="1424"/>
      <c r="X28" s="1425"/>
    </row>
    <row r="29" spans="1:24">
      <c r="A29" s="1354" t="s">
        <v>603</v>
      </c>
      <c r="B29" s="1355"/>
      <c r="C29" s="1355"/>
      <c r="D29" s="1355"/>
      <c r="E29" s="1355"/>
      <c r="F29" s="1355"/>
      <c r="G29" s="1355"/>
      <c r="H29" s="1355"/>
      <c r="I29" s="1355"/>
      <c r="J29" s="1355"/>
      <c r="K29" s="1355"/>
      <c r="L29" s="1356"/>
      <c r="M29" s="83" t="s">
        <v>204</v>
      </c>
      <c r="N29" s="195"/>
      <c r="O29" s="195"/>
      <c r="P29" s="36"/>
      <c r="Q29" s="35"/>
      <c r="R29" s="35"/>
      <c r="S29" s="36"/>
      <c r="T29" s="195"/>
      <c r="U29" s="195"/>
      <c r="V29" s="1468">
        <f>V30+V33</f>
        <v>48840000</v>
      </c>
      <c r="W29" s="1424"/>
      <c r="X29" s="1425"/>
    </row>
    <row r="30" spans="1:24">
      <c r="A30" s="1354" t="s">
        <v>642</v>
      </c>
      <c r="B30" s="1355"/>
      <c r="C30" s="1355"/>
      <c r="D30" s="1355"/>
      <c r="E30" s="1355"/>
      <c r="F30" s="1355"/>
      <c r="G30" s="1355"/>
      <c r="H30" s="1355"/>
      <c r="I30" s="1355"/>
      <c r="J30" s="1355"/>
      <c r="K30" s="1355"/>
      <c r="L30" s="1356"/>
      <c r="M30" s="35" t="s">
        <v>349</v>
      </c>
      <c r="N30" s="195"/>
      <c r="O30" s="195"/>
      <c r="P30" s="36"/>
      <c r="Q30" s="35"/>
      <c r="R30" s="35"/>
      <c r="S30" s="36"/>
      <c r="T30" s="195"/>
      <c r="U30" s="195"/>
      <c r="V30" s="1598">
        <f>V31+V32</f>
        <v>240000</v>
      </c>
      <c r="W30" s="1422"/>
      <c r="X30" s="1423"/>
    </row>
    <row r="31" spans="1:24">
      <c r="A31" s="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36"/>
      <c r="M31" s="63" t="s">
        <v>350</v>
      </c>
      <c r="N31" s="195"/>
      <c r="O31" s="195"/>
      <c r="P31" s="36"/>
      <c r="Q31" s="81">
        <v>12</v>
      </c>
      <c r="R31" s="1147" t="s">
        <v>351</v>
      </c>
      <c r="S31" s="1148"/>
      <c r="T31" s="1349">
        <v>10000</v>
      </c>
      <c r="U31" s="1350"/>
      <c r="V31" s="1598">
        <f>Q31*T31</f>
        <v>120000</v>
      </c>
      <c r="W31" s="1422"/>
      <c r="X31" s="1423"/>
    </row>
    <row r="32" spans="1:24">
      <c r="A32" s="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36"/>
      <c r="M32" s="35" t="s">
        <v>600</v>
      </c>
      <c r="N32" s="195"/>
      <c r="O32" s="195"/>
      <c r="P32" s="36"/>
      <c r="Q32" s="35">
        <v>12</v>
      </c>
      <c r="R32" s="1147" t="s">
        <v>351</v>
      </c>
      <c r="S32" s="1148"/>
      <c r="T32" s="1349">
        <v>10000</v>
      </c>
      <c r="U32" s="1350"/>
      <c r="V32" s="1598">
        <f>T32*Q32</f>
        <v>120000</v>
      </c>
      <c r="W32" s="1422"/>
      <c r="X32" s="1423"/>
    </row>
    <row r="33" spans="1:28">
      <c r="A33" s="1354" t="s">
        <v>643</v>
      </c>
      <c r="B33" s="1355"/>
      <c r="C33" s="1355"/>
      <c r="D33" s="1355"/>
      <c r="E33" s="1355"/>
      <c r="F33" s="1355"/>
      <c r="G33" s="1355"/>
      <c r="H33" s="1355"/>
      <c r="I33" s="1355"/>
      <c r="J33" s="1355"/>
      <c r="K33" s="1355"/>
      <c r="L33" s="1356"/>
      <c r="M33" s="35" t="s">
        <v>344</v>
      </c>
      <c r="N33" s="195"/>
      <c r="O33" s="195"/>
      <c r="P33" s="36"/>
      <c r="Q33" s="35"/>
      <c r="R33" s="35"/>
      <c r="S33" s="36"/>
      <c r="T33" s="195"/>
      <c r="U33" s="195"/>
      <c r="V33" s="1349">
        <f>V36+V38+V41</f>
        <v>48600000</v>
      </c>
      <c r="W33" s="1352"/>
      <c r="X33" s="1353"/>
    </row>
    <row r="34" spans="1:28">
      <c r="A34" s="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36"/>
      <c r="M34" s="35" t="s">
        <v>345</v>
      </c>
      <c r="N34" s="195"/>
      <c r="O34" s="195"/>
      <c r="P34" s="36"/>
      <c r="Q34" s="35"/>
      <c r="R34" s="35"/>
      <c r="S34" s="36"/>
      <c r="T34" s="195"/>
      <c r="U34" s="195"/>
      <c r="V34" s="1349"/>
      <c r="W34" s="1352"/>
      <c r="X34" s="1353"/>
    </row>
    <row r="35" spans="1:28">
      <c r="A35" s="5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36"/>
      <c r="M35" s="63" t="s">
        <v>346</v>
      </c>
      <c r="N35" s="195"/>
      <c r="O35" s="195"/>
      <c r="P35" s="36"/>
      <c r="Q35" s="35"/>
      <c r="R35" s="35"/>
      <c r="S35" s="36"/>
      <c r="T35" s="195"/>
      <c r="U35" s="195"/>
      <c r="V35" s="35"/>
      <c r="W35" s="195"/>
      <c r="X35" s="2"/>
    </row>
    <row r="36" spans="1:28">
      <c r="A36" s="5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36"/>
      <c r="M36" s="35" t="s">
        <v>347</v>
      </c>
      <c r="N36" s="195"/>
      <c r="O36" s="195"/>
      <c r="P36" s="36"/>
      <c r="Q36" s="35">
        <v>12</v>
      </c>
      <c r="R36" s="1147" t="s">
        <v>599</v>
      </c>
      <c r="S36" s="1148"/>
      <c r="T36" s="1349">
        <v>1350000</v>
      </c>
      <c r="U36" s="1350"/>
      <c r="V36" s="1349">
        <f>Q36*T36</f>
        <v>16200000</v>
      </c>
      <c r="W36" s="1352"/>
      <c r="X36" s="1353"/>
    </row>
    <row r="37" spans="1:28">
      <c r="A37" s="5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36"/>
      <c r="M37" s="63" t="s">
        <v>482</v>
      </c>
      <c r="N37" s="195"/>
      <c r="O37" s="195"/>
      <c r="P37" s="36"/>
      <c r="Q37" s="35"/>
      <c r="R37" s="35"/>
      <c r="S37" s="36"/>
      <c r="T37" s="195"/>
      <c r="U37" s="195"/>
      <c r="V37" s="35"/>
      <c r="W37" s="195"/>
      <c r="X37" s="2"/>
    </row>
    <row r="38" spans="1:28">
      <c r="A38" s="5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36"/>
      <c r="M38" s="35" t="s">
        <v>347</v>
      </c>
      <c r="N38" s="195"/>
      <c r="O38" s="195"/>
      <c r="P38" s="36"/>
      <c r="Q38" s="35">
        <v>12</v>
      </c>
      <c r="R38" s="1147" t="s">
        <v>599</v>
      </c>
      <c r="S38" s="1148"/>
      <c r="T38" s="1349">
        <v>1350000</v>
      </c>
      <c r="U38" s="1350"/>
      <c r="V38" s="1349">
        <f>Q38*T38</f>
        <v>16200000</v>
      </c>
      <c r="W38" s="1352"/>
      <c r="X38" s="1353"/>
      <c r="AB38" s="79"/>
    </row>
    <row r="39" spans="1:28">
      <c r="A39" s="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36"/>
      <c r="M39" s="63" t="s">
        <v>483</v>
      </c>
      <c r="N39" s="195"/>
      <c r="O39" s="195"/>
      <c r="P39" s="36"/>
      <c r="Q39" s="35"/>
      <c r="R39" s="35"/>
      <c r="S39" s="36"/>
      <c r="T39" s="195"/>
      <c r="U39" s="195"/>
      <c r="V39" s="35"/>
      <c r="W39" s="195"/>
      <c r="X39" s="2"/>
    </row>
    <row r="40" spans="1:28">
      <c r="A40" s="5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36"/>
      <c r="M40" s="35" t="s">
        <v>484</v>
      </c>
      <c r="N40" s="195"/>
      <c r="O40" s="195"/>
      <c r="P40" s="36"/>
      <c r="Q40" s="35"/>
      <c r="R40" s="35"/>
      <c r="S40" s="36"/>
      <c r="T40" s="195"/>
      <c r="U40" s="195"/>
      <c r="V40" s="35"/>
      <c r="W40" s="195"/>
      <c r="X40" s="2"/>
    </row>
    <row r="41" spans="1:28">
      <c r="A41" s="5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36"/>
      <c r="M41" s="35" t="s">
        <v>485</v>
      </c>
      <c r="N41" s="195"/>
      <c r="O41" s="195"/>
      <c r="P41" s="36"/>
      <c r="Q41" s="35">
        <v>12</v>
      </c>
      <c r="R41" s="1147" t="s">
        <v>599</v>
      </c>
      <c r="S41" s="1148"/>
      <c r="T41" s="1755">
        <v>1350000</v>
      </c>
      <c r="U41" s="1758"/>
      <c r="V41" s="1755">
        <f>Q41*T41</f>
        <v>16200000</v>
      </c>
      <c r="W41" s="1756"/>
      <c r="X41" s="1757"/>
    </row>
    <row r="42" spans="1:28">
      <c r="A42" s="1150" t="s">
        <v>110</v>
      </c>
      <c r="B42" s="1151"/>
      <c r="C42" s="1151"/>
      <c r="D42" s="1151"/>
      <c r="E42" s="1151"/>
      <c r="F42" s="1151"/>
      <c r="G42" s="1151"/>
      <c r="H42" s="1151"/>
      <c r="I42" s="1151"/>
      <c r="J42" s="1151"/>
      <c r="K42" s="1151"/>
      <c r="L42" s="1151"/>
      <c r="M42" s="1151"/>
      <c r="N42" s="1151"/>
      <c r="O42" s="1151"/>
      <c r="P42" s="1151"/>
      <c r="Q42" s="1151"/>
      <c r="R42" s="1151"/>
      <c r="S42" s="1151"/>
      <c r="T42" s="1151"/>
      <c r="U42" s="1152"/>
      <c r="V42" s="1595">
        <f>V30+V33</f>
        <v>48840000</v>
      </c>
      <c r="W42" s="1596"/>
      <c r="X42" s="1597"/>
    </row>
    <row r="43" spans="1:28" ht="20.25" customHeight="1" thickBot="1">
      <c r="A43" s="845" t="s">
        <v>1035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839"/>
      <c r="S43" s="839"/>
      <c r="T43" s="839"/>
      <c r="U43" s="839"/>
      <c r="V43" s="839"/>
      <c r="W43" s="839"/>
      <c r="X43" s="844"/>
    </row>
    <row r="44" spans="1:28">
      <c r="A44" s="5" t="s">
        <v>106</v>
      </c>
      <c r="B44" s="195"/>
      <c r="C44" s="195"/>
      <c r="D44" s="195"/>
      <c r="E44" s="66" t="s">
        <v>17</v>
      </c>
      <c r="F44" s="1422">
        <v>12210000</v>
      </c>
      <c r="G44" s="1422"/>
      <c r="H44" s="1422"/>
      <c r="I44" s="1422"/>
      <c r="J44" s="1422"/>
      <c r="K44" s="1422"/>
      <c r="L44" s="1422"/>
      <c r="M44" s="195"/>
      <c r="N44" s="195"/>
      <c r="O44" s="195"/>
      <c r="P44" s="195"/>
      <c r="Q44" s="195"/>
      <c r="R44" s="1759" t="s">
        <v>584</v>
      </c>
      <c r="S44" s="1759"/>
      <c r="T44" s="1759"/>
      <c r="U44" s="1759"/>
      <c r="V44" s="1759"/>
      <c r="W44" s="1759"/>
      <c r="X44" s="1760"/>
    </row>
    <row r="45" spans="1:28">
      <c r="A45" s="5" t="s">
        <v>107</v>
      </c>
      <c r="B45" s="195"/>
      <c r="C45" s="195"/>
      <c r="D45" s="195"/>
      <c r="E45" s="66" t="s">
        <v>17</v>
      </c>
      <c r="F45" s="1422">
        <f>F44</f>
        <v>12210000</v>
      </c>
      <c r="G45" s="1422"/>
      <c r="H45" s="1422"/>
      <c r="I45" s="1422"/>
      <c r="J45" s="1422"/>
      <c r="K45" s="1422"/>
      <c r="L45" s="1422"/>
      <c r="M45" s="195"/>
      <c r="N45" s="195"/>
      <c r="O45" s="195"/>
      <c r="P45" s="195"/>
      <c r="Q45" s="195"/>
      <c r="R45" s="1759" t="s">
        <v>585</v>
      </c>
      <c r="S45" s="1759"/>
      <c r="T45" s="1759"/>
      <c r="U45" s="1759"/>
      <c r="V45" s="1759"/>
      <c r="W45" s="1759"/>
      <c r="X45" s="1760"/>
    </row>
    <row r="46" spans="1:28">
      <c r="A46" s="5" t="s">
        <v>108</v>
      </c>
      <c r="B46" s="195"/>
      <c r="C46" s="195"/>
      <c r="D46" s="195"/>
      <c r="E46" s="66" t="s">
        <v>17</v>
      </c>
      <c r="F46" s="1422">
        <f>F45</f>
        <v>12210000</v>
      </c>
      <c r="G46" s="1422"/>
      <c r="H46" s="1422"/>
      <c r="I46" s="1422"/>
      <c r="J46" s="1422"/>
      <c r="K46" s="1422"/>
      <c r="L46" s="1422"/>
      <c r="M46" s="195"/>
      <c r="N46" s="195"/>
      <c r="O46" s="195"/>
      <c r="P46" s="195"/>
      <c r="Q46" s="195"/>
      <c r="R46" s="197"/>
      <c r="S46" s="197"/>
      <c r="T46" s="1209"/>
      <c r="U46" s="1209"/>
      <c r="V46" s="1209"/>
      <c r="W46" s="1209"/>
      <c r="X46" s="234"/>
    </row>
    <row r="47" spans="1:28" ht="16.5">
      <c r="A47" s="5" t="s">
        <v>109</v>
      </c>
      <c r="B47" s="195"/>
      <c r="C47" s="195"/>
      <c r="D47" s="195"/>
      <c r="E47" s="66" t="s">
        <v>17</v>
      </c>
      <c r="F47" s="1547">
        <f>F46</f>
        <v>12210000</v>
      </c>
      <c r="G47" s="1547"/>
      <c r="H47" s="1547"/>
      <c r="I47" s="1547"/>
      <c r="J47" s="1547"/>
      <c r="K47" s="1547"/>
      <c r="L47" s="1547"/>
      <c r="M47" s="195"/>
      <c r="N47" s="195"/>
      <c r="O47" s="195"/>
      <c r="P47" s="195"/>
      <c r="Q47" s="195"/>
      <c r="R47" s="197"/>
      <c r="S47" s="197"/>
      <c r="T47" s="835"/>
      <c r="U47" s="835"/>
      <c r="V47" s="835"/>
      <c r="W47" s="835"/>
      <c r="X47" s="234"/>
    </row>
    <row r="48" spans="1:28">
      <c r="A48" s="5" t="s">
        <v>15</v>
      </c>
      <c r="B48" s="195"/>
      <c r="C48" s="195"/>
      <c r="D48" s="195"/>
      <c r="E48" s="66" t="s">
        <v>17</v>
      </c>
      <c r="F48" s="1422">
        <f>SUM(F44:L47)</f>
        <v>48840000</v>
      </c>
      <c r="G48" s="1422"/>
      <c r="H48" s="1422"/>
      <c r="I48" s="1422"/>
      <c r="J48" s="1422"/>
      <c r="K48" s="1422"/>
      <c r="L48" s="1422"/>
      <c r="M48" s="195"/>
      <c r="N48" s="195"/>
      <c r="O48" s="195"/>
      <c r="P48" s="195"/>
      <c r="Q48" s="195"/>
      <c r="R48" s="197"/>
      <c r="S48" s="197"/>
      <c r="T48" s="197"/>
      <c r="U48" s="197"/>
      <c r="V48" s="197"/>
      <c r="W48" s="197"/>
      <c r="X48" s="234"/>
    </row>
    <row r="49" spans="1:28">
      <c r="A49" s="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357" t="s">
        <v>849</v>
      </c>
      <c r="S49" s="1357"/>
      <c r="T49" s="1357"/>
      <c r="U49" s="1357"/>
      <c r="V49" s="1357"/>
      <c r="W49" s="1357"/>
      <c r="X49" s="1358"/>
      <c r="AB49" s="79">
        <f>V42/4</f>
        <v>12210000</v>
      </c>
    </row>
    <row r="50" spans="1:28">
      <c r="A50" s="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3"/>
      <c r="R50" s="1359" t="s">
        <v>914</v>
      </c>
      <c r="S50" s="1209"/>
      <c r="T50" s="1209"/>
      <c r="U50" s="1209"/>
      <c r="V50" s="1209"/>
      <c r="W50" s="1209"/>
      <c r="X50" s="1210"/>
    </row>
    <row r="51" spans="1:28">
      <c r="A51" s="1418" t="s">
        <v>1034</v>
      </c>
      <c r="B51" s="1400"/>
      <c r="C51" s="1400"/>
      <c r="D51" s="1400"/>
      <c r="E51" s="1400"/>
      <c r="F51" s="1400"/>
      <c r="G51" s="1400"/>
      <c r="H51" s="1400"/>
      <c r="I51" s="1400"/>
      <c r="J51" s="1400"/>
      <c r="K51" s="1400"/>
      <c r="L51" s="1400"/>
      <c r="M51" s="1400"/>
      <c r="N51" s="1400"/>
      <c r="O51" s="1400"/>
      <c r="P51" s="1400"/>
      <c r="Q51" s="3"/>
      <c r="R51" s="1564"/>
      <c r="S51" s="1473"/>
      <c r="T51" s="1473"/>
      <c r="U51" s="1473"/>
      <c r="V51" s="1473"/>
      <c r="W51" s="1473"/>
      <c r="X51" s="1481"/>
    </row>
    <row r="52" spans="1:28">
      <c r="A52" s="319"/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195"/>
      <c r="R52" s="1456" t="s">
        <v>921</v>
      </c>
      <c r="S52" s="1209"/>
      <c r="T52" s="1209"/>
      <c r="U52" s="1209"/>
      <c r="V52" s="1209"/>
      <c r="W52" s="1209"/>
      <c r="X52" s="1210"/>
    </row>
    <row r="53" spans="1:28">
      <c r="A53" s="5">
        <v>1</v>
      </c>
      <c r="B53" s="195" t="s">
        <v>460</v>
      </c>
      <c r="C53" s="195"/>
      <c r="D53" s="195"/>
      <c r="E53" s="195"/>
      <c r="F53" s="195"/>
      <c r="G53" s="195"/>
      <c r="H53" s="195"/>
      <c r="I53" s="195"/>
      <c r="J53" s="195"/>
      <c r="K53" s="195" t="s">
        <v>193</v>
      </c>
      <c r="L53" s="195"/>
      <c r="M53" s="195"/>
      <c r="N53" s="195"/>
      <c r="O53" s="195"/>
      <c r="P53" s="195"/>
      <c r="Q53" s="195"/>
      <c r="R53" s="1147" t="s">
        <v>155</v>
      </c>
      <c r="S53" s="1146"/>
      <c r="T53" s="1146"/>
      <c r="U53" s="1146"/>
      <c r="V53" s="1146"/>
      <c r="W53" s="1146"/>
      <c r="X53" s="1149"/>
    </row>
    <row r="54" spans="1:28">
      <c r="A54" s="5"/>
      <c r="B54" t="s">
        <v>1019</v>
      </c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147" t="s">
        <v>114</v>
      </c>
      <c r="S54" s="1146"/>
      <c r="T54" s="1146"/>
      <c r="U54" s="1146"/>
      <c r="V54" s="1146"/>
      <c r="W54" s="1146"/>
      <c r="X54" s="1149"/>
    </row>
    <row r="55" spans="1:28">
      <c r="A55" s="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35"/>
      <c r="S55" s="195"/>
      <c r="T55" s="195"/>
      <c r="U55" s="195"/>
      <c r="V55" s="195"/>
      <c r="W55" s="195"/>
      <c r="X55" s="2"/>
    </row>
    <row r="56" spans="1:28">
      <c r="A56" s="5">
        <v>2</v>
      </c>
      <c r="B56" s="195" t="s">
        <v>194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 t="s">
        <v>195</v>
      </c>
      <c r="O56" s="195"/>
      <c r="P56" s="195"/>
      <c r="Q56" s="195"/>
      <c r="R56" s="35"/>
      <c r="S56" s="195"/>
      <c r="T56" s="195"/>
      <c r="U56" s="195"/>
      <c r="V56" s="195"/>
      <c r="W56" s="195"/>
      <c r="X56" s="2"/>
    </row>
    <row r="57" spans="1:28">
      <c r="A57" s="5"/>
      <c r="B57" t="s">
        <v>1019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35"/>
      <c r="S57" s="195"/>
      <c r="T57" s="195"/>
      <c r="U57" s="195"/>
      <c r="V57" s="195"/>
      <c r="W57" s="195"/>
      <c r="X57" s="2"/>
    </row>
    <row r="58" spans="1:28">
      <c r="A58" s="5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427" t="s">
        <v>115</v>
      </c>
      <c r="S58" s="1357"/>
      <c r="T58" s="1357"/>
      <c r="U58" s="1357"/>
      <c r="V58" s="1357"/>
      <c r="W58" s="1357"/>
      <c r="X58" s="1358"/>
    </row>
    <row r="59" spans="1:28">
      <c r="A59" s="5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147" t="s">
        <v>116</v>
      </c>
      <c r="S59" s="1146"/>
      <c r="T59" s="1146"/>
      <c r="U59" s="1146"/>
      <c r="V59" s="1146"/>
      <c r="W59" s="1146"/>
      <c r="X59" s="1149"/>
    </row>
    <row r="60" spans="1:28" ht="15.75" thickBot="1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50"/>
      <c r="S60" s="49"/>
      <c r="T60" s="49"/>
      <c r="U60" s="49"/>
      <c r="V60" s="49"/>
      <c r="W60" s="49"/>
      <c r="X60" s="86"/>
    </row>
  </sheetData>
  <mergeCells count="92">
    <mergeCell ref="A5:V5"/>
    <mergeCell ref="A6:V6"/>
    <mergeCell ref="U1:U2"/>
    <mergeCell ref="V1:V2"/>
    <mergeCell ref="W4:X4"/>
    <mergeCell ref="P1:P2"/>
    <mergeCell ref="Q1:Q2"/>
    <mergeCell ref="R1:R2"/>
    <mergeCell ref="S1:S2"/>
    <mergeCell ref="T1:T2"/>
    <mergeCell ref="V26:X26"/>
    <mergeCell ref="A26:L26"/>
    <mergeCell ref="M26:P26"/>
    <mergeCell ref="A1:O2"/>
    <mergeCell ref="W1:X1"/>
    <mergeCell ref="W2:X2"/>
    <mergeCell ref="A3:O4"/>
    <mergeCell ref="P3:P4"/>
    <mergeCell ref="Q3:Q4"/>
    <mergeCell ref="R3:R4"/>
    <mergeCell ref="S3:S4"/>
    <mergeCell ref="T3:T4"/>
    <mergeCell ref="U3:U4"/>
    <mergeCell ref="V3:V4"/>
    <mergeCell ref="A14:X14"/>
    <mergeCell ref="A15:F15"/>
    <mergeCell ref="I15:T15"/>
    <mergeCell ref="U15:X15"/>
    <mergeCell ref="U16:X16"/>
    <mergeCell ref="V17:X17"/>
    <mergeCell ref="U19:X19"/>
    <mergeCell ref="A21:X21"/>
    <mergeCell ref="A22:X22"/>
    <mergeCell ref="U18:X18"/>
    <mergeCell ref="A23:L23"/>
    <mergeCell ref="M23:P24"/>
    <mergeCell ref="Q23:U23"/>
    <mergeCell ref="V23:X23"/>
    <mergeCell ref="A24:L24"/>
    <mergeCell ref="R24:S24"/>
    <mergeCell ref="T24:U24"/>
    <mergeCell ref="V24:X24"/>
    <mergeCell ref="A25:L25"/>
    <mergeCell ref="M25:P25"/>
    <mergeCell ref="R25:S25"/>
    <mergeCell ref="T25:U25"/>
    <mergeCell ref="V25:X25"/>
    <mergeCell ref="A28:L28"/>
    <mergeCell ref="V28:X28"/>
    <mergeCell ref="A29:L29"/>
    <mergeCell ref="V29:X29"/>
    <mergeCell ref="A27:L27"/>
    <mergeCell ref="V27:X27"/>
    <mergeCell ref="R31:S31"/>
    <mergeCell ref="T31:U31"/>
    <mergeCell ref="V31:X31"/>
    <mergeCell ref="A30:L30"/>
    <mergeCell ref="V30:X30"/>
    <mergeCell ref="R50:X50"/>
    <mergeCell ref="A42:U42"/>
    <mergeCell ref="V42:X42"/>
    <mergeCell ref="F44:L44"/>
    <mergeCell ref="R44:X44"/>
    <mergeCell ref="F45:L45"/>
    <mergeCell ref="F46:L46"/>
    <mergeCell ref="F47:L47"/>
    <mergeCell ref="F48:L48"/>
    <mergeCell ref="R49:X49"/>
    <mergeCell ref="R45:X45"/>
    <mergeCell ref="T46:W46"/>
    <mergeCell ref="R59:X59"/>
    <mergeCell ref="A51:P51"/>
    <mergeCell ref="R51:X51"/>
    <mergeCell ref="R53:X53"/>
    <mergeCell ref="R54:X54"/>
    <mergeCell ref="R58:X58"/>
    <mergeCell ref="R52:X52"/>
    <mergeCell ref="V41:X41"/>
    <mergeCell ref="A33:L33"/>
    <mergeCell ref="R36:S36"/>
    <mergeCell ref="T36:U36"/>
    <mergeCell ref="V36:X36"/>
    <mergeCell ref="V34:X34"/>
    <mergeCell ref="V33:X33"/>
    <mergeCell ref="R41:S41"/>
    <mergeCell ref="T41:U41"/>
    <mergeCell ref="R32:S32"/>
    <mergeCell ref="V32:X32"/>
    <mergeCell ref="T32:U32"/>
    <mergeCell ref="R38:S38"/>
    <mergeCell ref="T38:U38"/>
    <mergeCell ref="V38:X38"/>
  </mergeCells>
  <pageMargins left="0.7" right="0.7" top="0.75" bottom="0.75" header="0.3" footer="0.3"/>
  <pageSetup paperSize="5" scale="80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B96"/>
  <sheetViews>
    <sheetView showWhiteSpace="0" view="pageBreakPreview" topLeftCell="A79" zoomScale="80" zoomScaleSheetLayoutView="80" workbookViewId="0">
      <selection activeCell="Z78" sqref="Z78"/>
    </sheetView>
  </sheetViews>
  <sheetFormatPr defaultRowHeight="15"/>
  <cols>
    <col min="1" max="2" width="2.5703125" customWidth="1"/>
    <col min="3" max="3" width="2.42578125" customWidth="1"/>
    <col min="4" max="4" width="4.7109375" customWidth="1"/>
    <col min="5" max="5" width="4" customWidth="1"/>
    <col min="6" max="6" width="1.42578125" customWidth="1"/>
    <col min="7" max="7" width="2.140625" customWidth="1"/>
    <col min="8" max="8" width="1.7109375" customWidth="1"/>
    <col min="9" max="9" width="2" customWidth="1"/>
    <col min="10" max="10" width="2.42578125" customWidth="1"/>
    <col min="11" max="11" width="3.28515625" customWidth="1"/>
    <col min="12" max="12" width="5.28515625" customWidth="1"/>
    <col min="16" max="16" width="6.28515625" customWidth="1"/>
    <col min="17" max="17" width="7.28515625" customWidth="1"/>
    <col min="18" max="18" width="3.85546875" customWidth="1"/>
    <col min="19" max="19" width="5.140625" customWidth="1"/>
    <col min="20" max="20" width="4.5703125" customWidth="1"/>
    <col min="21" max="21" width="6.140625" customWidth="1"/>
    <col min="22" max="22" width="4.5703125" customWidth="1"/>
    <col min="23" max="23" width="4" customWidth="1"/>
    <col min="24" max="24" width="15.85546875" customWidth="1"/>
    <col min="26" max="26" width="16.5703125" customWidth="1"/>
    <col min="27" max="27" width="16.140625" customWidth="1"/>
    <col min="28" max="28" width="12.28515625" customWidth="1"/>
  </cols>
  <sheetData>
    <row r="1" spans="1:24" ht="15" customHeight="1">
      <c r="A1" s="1386" t="s">
        <v>0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8"/>
      <c r="P1" s="1788">
        <v>3.02</v>
      </c>
      <c r="Q1" s="1789">
        <v>3.02</v>
      </c>
      <c r="R1" s="1790" t="s">
        <v>157</v>
      </c>
      <c r="S1" s="1790" t="s">
        <v>198</v>
      </c>
      <c r="T1" s="1790" t="s">
        <v>378</v>
      </c>
      <c r="U1" s="1789" t="s">
        <v>158</v>
      </c>
      <c r="V1" s="1791" t="s">
        <v>159</v>
      </c>
      <c r="W1" s="1780"/>
      <c r="X1" s="1781"/>
    </row>
    <row r="2" spans="1:24" ht="15.75" customHeight="1">
      <c r="A2" s="1389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1"/>
      <c r="P2" s="1784"/>
      <c r="Q2" s="1776"/>
      <c r="R2" s="1776"/>
      <c r="S2" s="1786"/>
      <c r="T2" s="1786"/>
      <c r="U2" s="1776"/>
      <c r="V2" s="1778"/>
      <c r="W2" s="1782" t="s">
        <v>1</v>
      </c>
      <c r="X2" s="1783"/>
    </row>
    <row r="3" spans="1:24" ht="15" customHeight="1">
      <c r="A3" s="1379" t="s">
        <v>2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1"/>
      <c r="P3" s="1784"/>
      <c r="Q3" s="1776"/>
      <c r="R3" s="1786"/>
      <c r="S3" s="1786"/>
      <c r="T3" s="1786"/>
      <c r="U3" s="1776"/>
      <c r="V3" s="1778"/>
      <c r="W3" s="895"/>
      <c r="X3" s="896"/>
    </row>
    <row r="4" spans="1:24" ht="21" customHeight="1">
      <c r="A4" s="1382"/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4"/>
      <c r="P4" s="1785"/>
      <c r="Q4" s="1777"/>
      <c r="R4" s="1777"/>
      <c r="S4" s="1787"/>
      <c r="T4" s="1787"/>
      <c r="U4" s="1777"/>
      <c r="V4" s="1779"/>
      <c r="W4" s="1782" t="s">
        <v>1043</v>
      </c>
      <c r="X4" s="1783"/>
    </row>
    <row r="5" spans="1:24" ht="15.75" customHeight="1">
      <c r="A5" s="1515" t="s">
        <v>717</v>
      </c>
      <c r="B5" s="1516"/>
      <c r="C5" s="1516"/>
      <c r="D5" s="1516"/>
      <c r="E5" s="1516"/>
      <c r="F5" s="1516"/>
      <c r="G5" s="1516"/>
      <c r="H5" s="1516"/>
      <c r="I5" s="1516"/>
      <c r="J5" s="1516"/>
      <c r="K5" s="1516"/>
      <c r="L5" s="1516"/>
      <c r="M5" s="1516"/>
      <c r="N5" s="1516"/>
      <c r="O5" s="1516"/>
      <c r="P5" s="1516"/>
      <c r="Q5" s="1516"/>
      <c r="R5" s="1516"/>
      <c r="S5" s="1516"/>
      <c r="T5" s="1516"/>
      <c r="U5" s="1516"/>
      <c r="V5" s="1517"/>
      <c r="W5" s="893"/>
      <c r="X5" s="894"/>
    </row>
    <row r="6" spans="1:24" ht="15.75" customHeight="1">
      <c r="A6" s="1518" t="s">
        <v>922</v>
      </c>
      <c r="B6" s="1519"/>
      <c r="C6" s="1519"/>
      <c r="D6" s="1519"/>
      <c r="E6" s="1519"/>
      <c r="F6" s="1519"/>
      <c r="G6" s="1519"/>
      <c r="H6" s="1519"/>
      <c r="I6" s="1519"/>
      <c r="J6" s="1519"/>
      <c r="K6" s="1519"/>
      <c r="L6" s="1519"/>
      <c r="M6" s="1519"/>
      <c r="N6" s="1519"/>
      <c r="O6" s="1519"/>
      <c r="P6" s="1519"/>
      <c r="Q6" s="1519"/>
      <c r="R6" s="1519"/>
      <c r="S6" s="1519"/>
      <c r="T6" s="1519"/>
      <c r="U6" s="1519"/>
      <c r="V6" s="1520"/>
      <c r="W6" s="891"/>
      <c r="X6" s="892"/>
    </row>
    <row r="7" spans="1:24">
      <c r="A7" s="602" t="s">
        <v>5</v>
      </c>
      <c r="B7" s="603"/>
      <c r="C7" s="603"/>
      <c r="D7" s="603"/>
      <c r="E7" s="603"/>
      <c r="F7" s="603"/>
      <c r="G7" s="603"/>
      <c r="H7" s="603"/>
      <c r="I7" s="603"/>
      <c r="J7" s="603"/>
      <c r="K7" s="700" t="s">
        <v>6</v>
      </c>
      <c r="L7" s="700" t="s">
        <v>528</v>
      </c>
      <c r="M7" s="700"/>
      <c r="N7" s="700"/>
      <c r="O7" s="700"/>
      <c r="P7" s="700" t="s">
        <v>8</v>
      </c>
      <c r="Q7" s="700"/>
      <c r="R7" s="700"/>
      <c r="S7" s="700"/>
      <c r="T7" s="700"/>
      <c r="U7" s="700"/>
      <c r="V7" s="700"/>
      <c r="W7" s="700"/>
      <c r="X7" s="749"/>
    </row>
    <row r="8" spans="1:24">
      <c r="A8" s="602" t="s">
        <v>9</v>
      </c>
      <c r="B8" s="603"/>
      <c r="C8" s="603"/>
      <c r="D8" s="603"/>
      <c r="E8" s="603"/>
      <c r="F8" s="603"/>
      <c r="G8" s="603"/>
      <c r="H8" s="603"/>
      <c r="I8" s="603"/>
      <c r="J8" s="603"/>
      <c r="K8" s="700" t="s">
        <v>6</v>
      </c>
      <c r="L8" s="802" t="s">
        <v>529</v>
      </c>
      <c r="M8" s="802"/>
      <c r="N8" s="700"/>
      <c r="O8" s="700"/>
      <c r="P8" s="700" t="s">
        <v>11</v>
      </c>
      <c r="Q8" s="700"/>
      <c r="R8" s="700"/>
      <c r="S8" s="700"/>
      <c r="T8" s="700"/>
      <c r="U8" s="700"/>
      <c r="V8" s="700"/>
      <c r="W8" s="700"/>
      <c r="X8" s="749"/>
    </row>
    <row r="9" spans="1:24">
      <c r="A9" s="602" t="s">
        <v>162</v>
      </c>
      <c r="B9" s="700"/>
      <c r="C9" s="700"/>
      <c r="D9" s="700"/>
      <c r="E9" s="700"/>
      <c r="F9" s="700"/>
      <c r="G9" s="700"/>
      <c r="H9" s="700"/>
      <c r="I9" s="700"/>
      <c r="J9" s="700"/>
      <c r="K9" s="700" t="s">
        <v>6</v>
      </c>
      <c r="L9" s="700" t="s">
        <v>606</v>
      </c>
      <c r="M9" s="700"/>
      <c r="N9" s="700"/>
      <c r="O9" s="700"/>
      <c r="P9" s="700" t="s">
        <v>605</v>
      </c>
      <c r="Q9" s="700"/>
      <c r="R9" s="700"/>
      <c r="S9" s="700"/>
      <c r="T9" s="700"/>
      <c r="U9" s="700"/>
      <c r="V9" s="700"/>
      <c r="W9" s="700"/>
      <c r="X9" s="749"/>
    </row>
    <row r="10" spans="1:24">
      <c r="A10" s="748" t="s">
        <v>58</v>
      </c>
      <c r="B10" s="700"/>
      <c r="C10" s="700"/>
      <c r="D10" s="700"/>
      <c r="E10" s="700"/>
      <c r="F10" s="700"/>
      <c r="G10" s="700"/>
      <c r="H10" s="700"/>
      <c r="I10" s="700"/>
      <c r="J10" s="700"/>
      <c r="K10" s="700" t="s">
        <v>6</v>
      </c>
      <c r="L10" s="700" t="s">
        <v>604</v>
      </c>
      <c r="M10" s="700"/>
      <c r="N10" s="700"/>
      <c r="O10" s="700"/>
      <c r="P10" s="750" t="s">
        <v>95</v>
      </c>
      <c r="Q10" s="700"/>
      <c r="R10" s="700"/>
      <c r="S10" s="700"/>
      <c r="T10" s="700"/>
      <c r="U10" s="700"/>
      <c r="V10" s="700"/>
      <c r="W10" s="700"/>
      <c r="X10" s="749"/>
    </row>
    <row r="11" spans="1:24">
      <c r="A11" s="748" t="s">
        <v>165</v>
      </c>
      <c r="B11" s="700"/>
      <c r="C11" s="700"/>
      <c r="D11" s="700"/>
      <c r="E11" s="700"/>
      <c r="F11" s="700"/>
      <c r="G11" s="700"/>
      <c r="H11" s="700"/>
      <c r="I11" s="700"/>
      <c r="J11" s="700"/>
      <c r="K11" s="700" t="s">
        <v>6</v>
      </c>
      <c r="L11" s="700" t="s">
        <v>923</v>
      </c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49"/>
    </row>
    <row r="12" spans="1:24">
      <c r="A12" s="748" t="s">
        <v>1021</v>
      </c>
      <c r="B12" s="700"/>
      <c r="C12" s="700"/>
      <c r="D12" s="700"/>
      <c r="E12" s="700"/>
      <c r="F12" s="700"/>
      <c r="G12" s="700"/>
      <c r="H12" s="700"/>
      <c r="I12" s="700"/>
      <c r="J12" s="700"/>
      <c r="K12" s="700" t="s">
        <v>6</v>
      </c>
      <c r="L12" s="700" t="s">
        <v>919</v>
      </c>
      <c r="M12" s="700"/>
      <c r="N12" s="700"/>
      <c r="O12" s="700"/>
      <c r="P12" s="700"/>
      <c r="Q12" s="750"/>
      <c r="R12" s="700"/>
      <c r="S12" s="700"/>
      <c r="T12" s="700"/>
      <c r="U12" s="700"/>
      <c r="V12" s="700"/>
      <c r="W12" s="700"/>
      <c r="X12" s="749"/>
    </row>
    <row r="13" spans="1:24">
      <c r="A13" s="748" t="s">
        <v>167</v>
      </c>
      <c r="B13" s="700"/>
      <c r="C13" s="700"/>
      <c r="D13" s="700"/>
      <c r="E13" s="700"/>
      <c r="F13" s="700"/>
      <c r="G13" s="700"/>
      <c r="H13" s="700"/>
      <c r="I13" s="700"/>
      <c r="J13" s="700"/>
      <c r="K13" s="700" t="s">
        <v>6</v>
      </c>
      <c r="L13" s="700" t="s">
        <v>68</v>
      </c>
      <c r="M13" s="700"/>
      <c r="N13" s="700"/>
      <c r="O13" s="700"/>
      <c r="P13" s="700"/>
      <c r="Q13" s="700"/>
      <c r="R13" s="700"/>
      <c r="S13" s="700"/>
      <c r="T13" s="700"/>
      <c r="U13" s="700"/>
      <c r="V13" s="700"/>
      <c r="W13" s="700"/>
      <c r="X13" s="749"/>
    </row>
    <row r="14" spans="1:24">
      <c r="A14" s="1763" t="s">
        <v>260</v>
      </c>
      <c r="B14" s="1764"/>
      <c r="C14" s="1764"/>
      <c r="D14" s="1764"/>
      <c r="E14" s="1764"/>
      <c r="F14" s="1764"/>
      <c r="G14" s="1764"/>
      <c r="H14" s="1764"/>
      <c r="I14" s="1764"/>
      <c r="J14" s="1764"/>
      <c r="K14" s="1764"/>
      <c r="L14" s="1764"/>
      <c r="M14" s="1764"/>
      <c r="N14" s="1764"/>
      <c r="O14" s="1764"/>
      <c r="P14" s="1764"/>
      <c r="Q14" s="1764"/>
      <c r="R14" s="1764"/>
      <c r="S14" s="1764"/>
      <c r="T14" s="1764"/>
      <c r="U14" s="1764"/>
      <c r="V14" s="1764"/>
      <c r="W14" s="1764"/>
      <c r="X14" s="1767"/>
    </row>
    <row r="15" spans="1:24">
      <c r="A15" s="1763" t="s">
        <v>169</v>
      </c>
      <c r="B15" s="1764"/>
      <c r="C15" s="1764"/>
      <c r="D15" s="1764"/>
      <c r="E15" s="1764"/>
      <c r="F15" s="1764"/>
      <c r="G15" s="704"/>
      <c r="H15" s="704"/>
      <c r="I15" s="1765" t="s">
        <v>170</v>
      </c>
      <c r="J15" s="1764"/>
      <c r="K15" s="1764"/>
      <c r="L15" s="1764"/>
      <c r="M15" s="1764"/>
      <c r="N15" s="1764"/>
      <c r="O15" s="1764"/>
      <c r="P15" s="1764"/>
      <c r="Q15" s="1764"/>
      <c r="R15" s="1764"/>
      <c r="S15" s="1764"/>
      <c r="T15" s="1766"/>
      <c r="U15" s="1765" t="s">
        <v>171</v>
      </c>
      <c r="V15" s="1764"/>
      <c r="W15" s="1764"/>
      <c r="X15" s="1767"/>
    </row>
    <row r="16" spans="1:24">
      <c r="A16" s="751" t="s">
        <v>172</v>
      </c>
      <c r="B16" s="752"/>
      <c r="C16" s="752"/>
      <c r="D16" s="752"/>
      <c r="E16" s="752"/>
      <c r="F16" s="752"/>
      <c r="G16" s="752"/>
      <c r="H16" s="752"/>
      <c r="I16" s="707" t="s">
        <v>379</v>
      </c>
      <c r="J16" s="708"/>
      <c r="K16" s="708"/>
      <c r="L16" s="708"/>
      <c r="M16" s="708"/>
      <c r="N16" s="708"/>
      <c r="O16" s="708"/>
      <c r="P16" s="708"/>
      <c r="Q16" s="708"/>
      <c r="R16" s="708"/>
      <c r="S16" s="708"/>
      <c r="T16" s="709"/>
      <c r="U16" s="1768">
        <v>1</v>
      </c>
      <c r="V16" s="1769"/>
      <c r="W16" s="1769"/>
      <c r="X16" s="1770"/>
    </row>
    <row r="17" spans="1:28">
      <c r="A17" s="748" t="s">
        <v>174</v>
      </c>
      <c r="B17" s="700"/>
      <c r="C17" s="700"/>
      <c r="D17" s="700"/>
      <c r="E17" s="700"/>
      <c r="F17" s="700"/>
      <c r="G17" s="700"/>
      <c r="H17" s="700"/>
      <c r="I17" s="710" t="s">
        <v>175</v>
      </c>
      <c r="J17" s="711"/>
      <c r="K17" s="711"/>
      <c r="L17" s="711"/>
      <c r="M17" s="711"/>
      <c r="N17" s="711"/>
      <c r="O17" s="711"/>
      <c r="P17" s="711"/>
      <c r="Q17" s="711"/>
      <c r="R17" s="711"/>
      <c r="S17" s="711"/>
      <c r="T17" s="712"/>
      <c r="U17" s="713" t="s">
        <v>154</v>
      </c>
      <c r="V17" s="1771">
        <f>V28</f>
        <v>24347000</v>
      </c>
      <c r="W17" s="1771"/>
      <c r="X17" s="1772"/>
    </row>
    <row r="18" spans="1:28">
      <c r="A18" s="748" t="s">
        <v>176</v>
      </c>
      <c r="B18" s="700"/>
      <c r="C18" s="700"/>
      <c r="D18" s="700"/>
      <c r="E18" s="700"/>
      <c r="F18" s="700"/>
      <c r="G18" s="700"/>
      <c r="H18" s="700"/>
      <c r="I18" s="710" t="s">
        <v>380</v>
      </c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2"/>
      <c r="U18" s="1773" t="s">
        <v>178</v>
      </c>
      <c r="V18" s="1774"/>
      <c r="W18" s="1774"/>
      <c r="X18" s="1775"/>
    </row>
    <row r="19" spans="1:28">
      <c r="A19" s="753" t="s">
        <v>179</v>
      </c>
      <c r="B19" s="754"/>
      <c r="C19" s="754"/>
      <c r="D19" s="754"/>
      <c r="E19" s="754"/>
      <c r="F19" s="754"/>
      <c r="G19" s="754"/>
      <c r="H19" s="754"/>
      <c r="I19" s="716" t="s">
        <v>381</v>
      </c>
      <c r="J19" s="717"/>
      <c r="K19" s="717"/>
      <c r="L19" s="717"/>
      <c r="M19" s="717"/>
      <c r="N19" s="717"/>
      <c r="O19" s="717"/>
      <c r="P19" s="717"/>
      <c r="Q19" s="717"/>
      <c r="R19" s="717"/>
      <c r="S19" s="717"/>
      <c r="T19" s="718"/>
      <c r="U19" s="1792" t="s">
        <v>181</v>
      </c>
      <c r="V19" s="1793"/>
      <c r="W19" s="1793"/>
      <c r="X19" s="1794"/>
    </row>
    <row r="20" spans="1:28">
      <c r="A20" s="748" t="s">
        <v>182</v>
      </c>
      <c r="B20" s="700"/>
      <c r="C20" s="700"/>
      <c r="D20" s="700"/>
      <c r="E20" s="700"/>
      <c r="F20" s="700"/>
      <c r="G20" s="700"/>
      <c r="H20" s="700"/>
      <c r="I20" s="700"/>
      <c r="J20" s="700"/>
      <c r="K20" s="700"/>
      <c r="L20" s="700" t="s">
        <v>6</v>
      </c>
      <c r="M20" s="700" t="s">
        <v>920</v>
      </c>
      <c r="N20" s="700"/>
      <c r="O20" s="700"/>
      <c r="P20" s="700"/>
      <c r="Q20" s="700"/>
      <c r="R20" s="700"/>
      <c r="S20" s="700"/>
      <c r="T20" s="700"/>
      <c r="U20" s="700"/>
      <c r="V20" s="700"/>
      <c r="W20" s="700"/>
      <c r="X20" s="749"/>
    </row>
    <row r="21" spans="1:28">
      <c r="A21" s="1515" t="s">
        <v>718</v>
      </c>
      <c r="B21" s="1516"/>
      <c r="C21" s="1516"/>
      <c r="D21" s="1516"/>
      <c r="E21" s="1516"/>
      <c r="F21" s="1516"/>
      <c r="G21" s="1516"/>
      <c r="H21" s="1516"/>
      <c r="I21" s="1516"/>
      <c r="J21" s="1516"/>
      <c r="K21" s="1516"/>
      <c r="L21" s="1516"/>
      <c r="M21" s="1516"/>
      <c r="N21" s="1516"/>
      <c r="O21" s="1516"/>
      <c r="P21" s="1516"/>
      <c r="Q21" s="1516"/>
      <c r="R21" s="1516"/>
      <c r="S21" s="1516"/>
      <c r="T21" s="1516"/>
      <c r="U21" s="1516"/>
      <c r="V21" s="1516"/>
      <c r="W21" s="1516"/>
      <c r="X21" s="1517"/>
    </row>
    <row r="22" spans="1:28">
      <c r="A22" s="1782" t="s">
        <v>719</v>
      </c>
      <c r="B22" s="1795"/>
      <c r="C22" s="1795"/>
      <c r="D22" s="1795"/>
      <c r="E22" s="1795"/>
      <c r="F22" s="1795"/>
      <c r="G22" s="1795"/>
      <c r="H22" s="1795"/>
      <c r="I22" s="1795"/>
      <c r="J22" s="1795"/>
      <c r="K22" s="1795"/>
      <c r="L22" s="1795"/>
      <c r="M22" s="1795"/>
      <c r="N22" s="1795"/>
      <c r="O22" s="1795"/>
      <c r="P22" s="1795"/>
      <c r="Q22" s="1795"/>
      <c r="R22" s="1795"/>
      <c r="S22" s="1795"/>
      <c r="T22" s="1795"/>
      <c r="U22" s="1795"/>
      <c r="V22" s="1795"/>
      <c r="W22" s="1795"/>
      <c r="X22" s="1783"/>
    </row>
    <row r="23" spans="1:28">
      <c r="A23" s="1515" t="s">
        <v>13</v>
      </c>
      <c r="B23" s="1516"/>
      <c r="C23" s="1516"/>
      <c r="D23" s="1516"/>
      <c r="E23" s="1516"/>
      <c r="F23" s="1516"/>
      <c r="G23" s="1516"/>
      <c r="H23" s="1516"/>
      <c r="I23" s="1516"/>
      <c r="J23" s="1516"/>
      <c r="K23" s="1516"/>
      <c r="L23" s="1796"/>
      <c r="M23" s="1797" t="s">
        <v>14</v>
      </c>
      <c r="N23" s="1438"/>
      <c r="O23" s="1438"/>
      <c r="P23" s="1439"/>
      <c r="Q23" s="1799" t="s">
        <v>121</v>
      </c>
      <c r="R23" s="1516"/>
      <c r="S23" s="1516"/>
      <c r="T23" s="1516"/>
      <c r="U23" s="1516"/>
      <c r="V23" s="1799" t="s">
        <v>15</v>
      </c>
      <c r="W23" s="1516"/>
      <c r="X23" s="1517"/>
    </row>
    <row r="24" spans="1:28">
      <c r="A24" s="1782" t="s">
        <v>16</v>
      </c>
      <c r="B24" s="1795"/>
      <c r="C24" s="1795"/>
      <c r="D24" s="1795"/>
      <c r="E24" s="1795"/>
      <c r="F24" s="1795"/>
      <c r="G24" s="1795"/>
      <c r="H24" s="1795"/>
      <c r="I24" s="1795"/>
      <c r="J24" s="1795"/>
      <c r="K24" s="1795"/>
      <c r="L24" s="1800"/>
      <c r="M24" s="1798"/>
      <c r="N24" s="1441"/>
      <c r="O24" s="1441"/>
      <c r="P24" s="1442"/>
      <c r="Q24" s="719" t="s">
        <v>122</v>
      </c>
      <c r="R24" s="1765" t="s">
        <v>123</v>
      </c>
      <c r="S24" s="1766"/>
      <c r="T24" s="1765" t="s">
        <v>124</v>
      </c>
      <c r="U24" s="1766"/>
      <c r="V24" s="1801" t="s">
        <v>17</v>
      </c>
      <c r="W24" s="1795"/>
      <c r="X24" s="1783"/>
    </row>
    <row r="25" spans="1:28">
      <c r="A25" s="1763">
        <v>1</v>
      </c>
      <c r="B25" s="1764"/>
      <c r="C25" s="1764"/>
      <c r="D25" s="1764"/>
      <c r="E25" s="1764"/>
      <c r="F25" s="1764"/>
      <c r="G25" s="1764"/>
      <c r="H25" s="1764"/>
      <c r="I25" s="1764"/>
      <c r="J25" s="1764"/>
      <c r="K25" s="1764"/>
      <c r="L25" s="1766"/>
      <c r="M25" s="1765">
        <v>2</v>
      </c>
      <c r="N25" s="1764"/>
      <c r="O25" s="1764"/>
      <c r="P25" s="1766"/>
      <c r="Q25" s="720">
        <v>3</v>
      </c>
      <c r="R25" s="1765">
        <v>4</v>
      </c>
      <c r="S25" s="1766"/>
      <c r="T25" s="1765">
        <v>5</v>
      </c>
      <c r="U25" s="1766"/>
      <c r="V25" s="1765">
        <v>6</v>
      </c>
      <c r="W25" s="1764"/>
      <c r="X25" s="1767"/>
    </row>
    <row r="26" spans="1:28">
      <c r="A26" s="1808" t="s">
        <v>747</v>
      </c>
      <c r="B26" s="1809"/>
      <c r="C26" s="1809"/>
      <c r="D26" s="1809"/>
      <c r="E26" s="1809"/>
      <c r="F26" s="1809"/>
      <c r="G26" s="1809"/>
      <c r="H26" s="1809"/>
      <c r="I26" s="1809"/>
      <c r="J26" s="1809"/>
      <c r="K26" s="1809"/>
      <c r="L26" s="1810"/>
      <c r="M26" s="1811" t="s">
        <v>551</v>
      </c>
      <c r="N26" s="1811"/>
      <c r="O26" s="1811"/>
      <c r="P26" s="1811"/>
      <c r="Q26" s="721"/>
      <c r="R26" s="721"/>
      <c r="S26" s="722"/>
      <c r="T26" s="723"/>
      <c r="U26" s="723"/>
      <c r="V26" s="1812">
        <f>V27</f>
        <v>24347000</v>
      </c>
      <c r="W26" s="1516"/>
      <c r="X26" s="1517"/>
    </row>
    <row r="27" spans="1:28">
      <c r="A27" s="1802" t="s">
        <v>748</v>
      </c>
      <c r="B27" s="1803"/>
      <c r="C27" s="1803"/>
      <c r="D27" s="1803"/>
      <c r="E27" s="1803"/>
      <c r="F27" s="1803"/>
      <c r="G27" s="1803"/>
      <c r="H27" s="1803"/>
      <c r="I27" s="1803"/>
      <c r="J27" s="1803"/>
      <c r="K27" s="1803"/>
      <c r="L27" s="1804"/>
      <c r="M27" s="724" t="s">
        <v>23</v>
      </c>
      <c r="N27" s="725"/>
      <c r="O27" s="725"/>
      <c r="P27" s="726"/>
      <c r="Q27" s="724"/>
      <c r="R27" s="724"/>
      <c r="S27" s="726"/>
      <c r="T27" s="725"/>
      <c r="U27" s="725"/>
      <c r="V27" s="1805">
        <f>V28</f>
        <v>24347000</v>
      </c>
      <c r="W27" s="1806"/>
      <c r="X27" s="1807"/>
    </row>
    <row r="28" spans="1:28">
      <c r="A28" s="1802" t="s">
        <v>608</v>
      </c>
      <c r="B28" s="1803"/>
      <c r="C28" s="1803"/>
      <c r="D28" s="1803"/>
      <c r="E28" s="1803"/>
      <c r="F28" s="1803"/>
      <c r="G28" s="1803"/>
      <c r="H28" s="1803"/>
      <c r="I28" s="1803"/>
      <c r="J28" s="1803"/>
      <c r="K28" s="1803"/>
      <c r="L28" s="1804"/>
      <c r="M28" s="724" t="s">
        <v>382</v>
      </c>
      <c r="N28" s="725"/>
      <c r="O28" s="725"/>
      <c r="P28" s="726"/>
      <c r="Q28" s="724"/>
      <c r="R28" s="724"/>
      <c r="S28" s="726"/>
      <c r="T28" s="725"/>
      <c r="U28" s="725"/>
      <c r="V28" s="1805">
        <f>V29+V65</f>
        <v>24347000</v>
      </c>
      <c r="W28" s="1806"/>
      <c r="X28" s="1807"/>
    </row>
    <row r="29" spans="1:28">
      <c r="A29" s="1802" t="s">
        <v>607</v>
      </c>
      <c r="B29" s="1803"/>
      <c r="C29" s="1803"/>
      <c r="D29" s="1803"/>
      <c r="E29" s="1803"/>
      <c r="F29" s="1803"/>
      <c r="G29" s="1803"/>
      <c r="H29" s="1803"/>
      <c r="I29" s="1803"/>
      <c r="J29" s="1803"/>
      <c r="K29" s="1803"/>
      <c r="L29" s="1804"/>
      <c r="M29" s="724" t="s">
        <v>383</v>
      </c>
      <c r="N29" s="725"/>
      <c r="O29" s="725"/>
      <c r="P29" s="726"/>
      <c r="Q29" s="724"/>
      <c r="R29" s="724"/>
      <c r="S29" s="726"/>
      <c r="T29" s="725"/>
      <c r="U29" s="725"/>
      <c r="V29" s="1805">
        <f>V30</f>
        <v>16409000</v>
      </c>
      <c r="W29" s="1806"/>
      <c r="X29" s="1807"/>
    </row>
    <row r="30" spans="1:28">
      <c r="A30" s="1802" t="s">
        <v>609</v>
      </c>
      <c r="B30" s="1803"/>
      <c r="C30" s="1803"/>
      <c r="D30" s="1803"/>
      <c r="E30" s="1803"/>
      <c r="F30" s="1803"/>
      <c r="G30" s="1803"/>
      <c r="H30" s="1803"/>
      <c r="I30" s="1803"/>
      <c r="J30" s="1803"/>
      <c r="K30" s="1803"/>
      <c r="L30" s="1804"/>
      <c r="M30" s="755" t="s">
        <v>384</v>
      </c>
      <c r="N30" s="700"/>
      <c r="O30" s="700"/>
      <c r="P30" s="756"/>
      <c r="Q30" s="755"/>
      <c r="R30" s="755"/>
      <c r="S30" s="756"/>
      <c r="T30" s="700"/>
      <c r="U30" s="700"/>
      <c r="V30" s="1820">
        <f>V31+V45</f>
        <v>16409000</v>
      </c>
      <c r="W30" s="1771"/>
      <c r="X30" s="1772"/>
    </row>
    <row r="31" spans="1:28">
      <c r="A31" s="748"/>
      <c r="B31" s="700"/>
      <c r="C31" s="700"/>
      <c r="D31" s="700"/>
      <c r="E31" s="700"/>
      <c r="F31" s="700"/>
      <c r="G31" s="700"/>
      <c r="H31" s="700"/>
      <c r="I31" s="700"/>
      <c r="J31" s="700"/>
      <c r="K31" s="700"/>
      <c r="L31" s="756"/>
      <c r="M31" s="757" t="s">
        <v>1014</v>
      </c>
      <c r="N31" s="700"/>
      <c r="O31" s="700"/>
      <c r="P31" s="756"/>
      <c r="Q31" s="755"/>
      <c r="R31" s="1813"/>
      <c r="S31" s="1814"/>
      <c r="T31" s="1815"/>
      <c r="U31" s="1816"/>
      <c r="V31" s="1805">
        <f>SUM(V32:X43)</f>
        <v>7842000</v>
      </c>
      <c r="W31" s="1806"/>
      <c r="X31" s="1807"/>
    </row>
    <row r="32" spans="1:28">
      <c r="A32" s="748"/>
      <c r="B32" s="700"/>
      <c r="C32" s="700"/>
      <c r="D32" s="700"/>
      <c r="E32" s="700"/>
      <c r="F32" s="700"/>
      <c r="G32" s="700"/>
      <c r="H32" s="700"/>
      <c r="I32" s="700"/>
      <c r="J32" s="700"/>
      <c r="K32" s="700"/>
      <c r="L32" s="756"/>
      <c r="M32" s="755" t="s">
        <v>486</v>
      </c>
      <c r="N32" s="700"/>
      <c r="O32" s="700"/>
      <c r="P32" s="756"/>
      <c r="Q32" s="758">
        <v>200</v>
      </c>
      <c r="R32" s="1813" t="s">
        <v>237</v>
      </c>
      <c r="S32" s="1814"/>
      <c r="T32" s="1815">
        <v>26000</v>
      </c>
      <c r="U32" s="1816"/>
      <c r="V32" s="1817">
        <f>SUM(Q32*T32)</f>
        <v>5200000</v>
      </c>
      <c r="W32" s="1818"/>
      <c r="X32" s="1819"/>
      <c r="AB32" s="79"/>
    </row>
    <row r="33" spans="1:27">
      <c r="A33" s="748"/>
      <c r="B33" s="700"/>
      <c r="C33" s="700"/>
      <c r="D33" s="700"/>
      <c r="E33" s="700"/>
      <c r="F33" s="700"/>
      <c r="G33" s="700"/>
      <c r="H33" s="700"/>
      <c r="I33" s="700"/>
      <c r="J33" s="700"/>
      <c r="K33" s="700"/>
      <c r="L33" s="756"/>
      <c r="M33" s="755" t="s">
        <v>424</v>
      </c>
      <c r="N33" s="700"/>
      <c r="O33" s="700"/>
      <c r="P33" s="756"/>
      <c r="Q33" s="758">
        <v>10</v>
      </c>
      <c r="R33" s="1813" t="s">
        <v>237</v>
      </c>
      <c r="S33" s="1814"/>
      <c r="T33" s="1815">
        <v>67500</v>
      </c>
      <c r="U33" s="1816"/>
      <c r="V33" s="1817">
        <f t="shared" ref="V33:V42" si="0">Q33*T33</f>
        <v>675000</v>
      </c>
      <c r="W33" s="1818"/>
      <c r="X33" s="1819"/>
    </row>
    <row r="34" spans="1:27">
      <c r="A34" s="748"/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56"/>
      <c r="M34" s="755" t="s">
        <v>426</v>
      </c>
      <c r="N34" s="700"/>
      <c r="O34" s="700"/>
      <c r="P34" s="756"/>
      <c r="Q34" s="758">
        <v>8</v>
      </c>
      <c r="R34" s="1813" t="s">
        <v>385</v>
      </c>
      <c r="S34" s="1814"/>
      <c r="T34" s="1815">
        <v>26000</v>
      </c>
      <c r="U34" s="1816"/>
      <c r="V34" s="1817">
        <f t="shared" si="0"/>
        <v>208000</v>
      </c>
      <c r="W34" s="1818"/>
      <c r="X34" s="1819"/>
    </row>
    <row r="35" spans="1:27">
      <c r="A35" s="748"/>
      <c r="B35" s="700"/>
      <c r="C35" s="700"/>
      <c r="D35" s="700"/>
      <c r="E35" s="700"/>
      <c r="F35" s="700"/>
      <c r="G35" s="700"/>
      <c r="H35" s="700"/>
      <c r="I35" s="700"/>
      <c r="J35" s="700"/>
      <c r="K35" s="700"/>
      <c r="L35" s="756"/>
      <c r="M35" s="755" t="s">
        <v>427</v>
      </c>
      <c r="N35" s="700"/>
      <c r="O35" s="700"/>
      <c r="P35" s="756"/>
      <c r="Q35" s="758">
        <v>10</v>
      </c>
      <c r="R35" s="1813" t="s">
        <v>237</v>
      </c>
      <c r="S35" s="1814"/>
      <c r="T35" s="1815">
        <v>67500</v>
      </c>
      <c r="U35" s="1816"/>
      <c r="V35" s="1817">
        <f t="shared" si="0"/>
        <v>675000</v>
      </c>
      <c r="W35" s="1818"/>
      <c r="X35" s="1819"/>
    </row>
    <row r="36" spans="1:27">
      <c r="A36" s="748"/>
      <c r="B36" s="700"/>
      <c r="C36" s="700"/>
      <c r="D36" s="700"/>
      <c r="E36" s="700"/>
      <c r="F36" s="700"/>
      <c r="G36" s="700"/>
      <c r="H36" s="700"/>
      <c r="I36" s="700"/>
      <c r="J36" s="700"/>
      <c r="K36" s="700"/>
      <c r="L36" s="756"/>
      <c r="M36" s="755" t="s">
        <v>428</v>
      </c>
      <c r="N36" s="700"/>
      <c r="O36" s="700"/>
      <c r="P36" s="756"/>
      <c r="Q36" s="758">
        <v>6</v>
      </c>
      <c r="R36" s="1813" t="s">
        <v>385</v>
      </c>
      <c r="S36" s="1814"/>
      <c r="T36" s="1815">
        <v>21500</v>
      </c>
      <c r="U36" s="1816"/>
      <c r="V36" s="1817">
        <f t="shared" si="0"/>
        <v>129000</v>
      </c>
      <c r="W36" s="1818"/>
      <c r="X36" s="1819"/>
      <c r="Z36" s="79">
        <f>16409000-V29</f>
        <v>0</v>
      </c>
      <c r="AA36" s="79">
        <f>35000000-V30</f>
        <v>18591000</v>
      </c>
    </row>
    <row r="37" spans="1:27">
      <c r="A37" s="748"/>
      <c r="B37" s="700"/>
      <c r="C37" s="700"/>
      <c r="D37" s="700"/>
      <c r="E37" s="700"/>
      <c r="F37" s="700"/>
      <c r="G37" s="700"/>
      <c r="H37" s="700"/>
      <c r="I37" s="700"/>
      <c r="J37" s="700"/>
      <c r="K37" s="700"/>
      <c r="L37" s="756"/>
      <c r="M37" s="755" t="s">
        <v>429</v>
      </c>
      <c r="N37" s="700"/>
      <c r="O37" s="700"/>
      <c r="P37" s="756"/>
      <c r="Q37" s="758">
        <v>3</v>
      </c>
      <c r="R37" s="1813" t="s">
        <v>221</v>
      </c>
      <c r="S37" s="1814"/>
      <c r="T37" s="1815">
        <v>31000</v>
      </c>
      <c r="U37" s="1816"/>
      <c r="V37" s="1817">
        <f t="shared" si="0"/>
        <v>93000</v>
      </c>
      <c r="W37" s="1818"/>
      <c r="X37" s="1819"/>
    </row>
    <row r="38" spans="1:27">
      <c r="A38" s="748"/>
      <c r="B38" s="700"/>
      <c r="C38" s="700"/>
      <c r="D38" s="700"/>
      <c r="E38" s="700"/>
      <c r="F38" s="700"/>
      <c r="G38" s="700"/>
      <c r="H38" s="700"/>
      <c r="I38" s="700"/>
      <c r="J38" s="700"/>
      <c r="K38" s="700"/>
      <c r="L38" s="756"/>
      <c r="M38" s="755" t="s">
        <v>1007</v>
      </c>
      <c r="N38" s="700"/>
      <c r="O38" s="700"/>
      <c r="P38" s="756"/>
      <c r="Q38" s="758">
        <v>4</v>
      </c>
      <c r="R38" s="1813" t="s">
        <v>221</v>
      </c>
      <c r="S38" s="1814"/>
      <c r="T38" s="1815">
        <v>15500</v>
      </c>
      <c r="U38" s="1816"/>
      <c r="V38" s="1817">
        <f t="shared" si="0"/>
        <v>62000</v>
      </c>
      <c r="W38" s="1818"/>
      <c r="X38" s="1819"/>
    </row>
    <row r="39" spans="1:27">
      <c r="A39" s="748"/>
      <c r="B39" s="700"/>
      <c r="C39" s="700"/>
      <c r="D39" s="700"/>
      <c r="E39" s="700"/>
      <c r="F39" s="700"/>
      <c r="G39" s="700"/>
      <c r="H39" s="700"/>
      <c r="I39" s="700"/>
      <c r="J39" s="700"/>
      <c r="K39" s="700"/>
      <c r="L39" s="756"/>
      <c r="M39" s="755" t="s">
        <v>430</v>
      </c>
      <c r="N39" s="700"/>
      <c r="O39" s="700"/>
      <c r="P39" s="756"/>
      <c r="Q39" s="758">
        <v>12</v>
      </c>
      <c r="R39" s="1813" t="s">
        <v>254</v>
      </c>
      <c r="S39" s="1814"/>
      <c r="T39" s="1815">
        <v>3000</v>
      </c>
      <c r="U39" s="1816"/>
      <c r="V39" s="1817">
        <f t="shared" si="0"/>
        <v>36000</v>
      </c>
      <c r="W39" s="1818"/>
      <c r="X39" s="1819"/>
    </row>
    <row r="40" spans="1:27">
      <c r="A40" s="748"/>
      <c r="B40" s="700"/>
      <c r="C40" s="700"/>
      <c r="D40" s="700"/>
      <c r="E40" s="700"/>
      <c r="F40" s="700"/>
      <c r="G40" s="700"/>
      <c r="H40" s="700"/>
      <c r="I40" s="700"/>
      <c r="J40" s="700"/>
      <c r="K40" s="700"/>
      <c r="L40" s="756"/>
      <c r="M40" s="755" t="s">
        <v>431</v>
      </c>
      <c r="N40" s="700"/>
      <c r="O40" s="700"/>
      <c r="P40" s="756"/>
      <c r="Q40" s="758">
        <v>5</v>
      </c>
      <c r="R40" s="1813" t="s">
        <v>237</v>
      </c>
      <c r="S40" s="1814"/>
      <c r="T40" s="1815">
        <v>50000</v>
      </c>
      <c r="U40" s="1816"/>
      <c r="V40" s="1817">
        <f t="shared" si="0"/>
        <v>250000</v>
      </c>
      <c r="W40" s="1818"/>
      <c r="X40" s="1819"/>
    </row>
    <row r="41" spans="1:27">
      <c r="A41" s="748"/>
      <c r="B41" s="700"/>
      <c r="C41" s="700"/>
      <c r="D41" s="700"/>
      <c r="E41" s="700"/>
      <c r="F41" s="700"/>
      <c r="G41" s="700"/>
      <c r="H41" s="700"/>
      <c r="I41" s="700"/>
      <c r="J41" s="700"/>
      <c r="K41" s="700"/>
      <c r="L41" s="756"/>
      <c r="M41" s="755" t="s">
        <v>432</v>
      </c>
      <c r="N41" s="700"/>
      <c r="O41" s="700"/>
      <c r="P41" s="756"/>
      <c r="Q41" s="758">
        <v>8</v>
      </c>
      <c r="R41" s="1813" t="s">
        <v>237</v>
      </c>
      <c r="S41" s="1814"/>
      <c r="T41" s="1815">
        <v>3000</v>
      </c>
      <c r="U41" s="1816"/>
      <c r="V41" s="1817">
        <f t="shared" si="0"/>
        <v>24000</v>
      </c>
      <c r="W41" s="1818"/>
      <c r="X41" s="1819"/>
    </row>
    <row r="42" spans="1:27">
      <c r="A42" s="748"/>
      <c r="B42" s="700"/>
      <c r="C42" s="700"/>
      <c r="D42" s="700"/>
      <c r="E42" s="700"/>
      <c r="F42" s="700"/>
      <c r="G42" s="700"/>
      <c r="H42" s="700"/>
      <c r="I42" s="700"/>
      <c r="J42" s="700"/>
      <c r="K42" s="700"/>
      <c r="L42" s="756"/>
      <c r="M42" s="755" t="s">
        <v>433</v>
      </c>
      <c r="N42" s="700"/>
      <c r="O42" s="700"/>
      <c r="P42" s="756"/>
      <c r="Q42" s="758">
        <v>4</v>
      </c>
      <c r="R42" s="1813" t="s">
        <v>237</v>
      </c>
      <c r="S42" s="1814"/>
      <c r="T42" s="1815">
        <v>18500</v>
      </c>
      <c r="U42" s="1816"/>
      <c r="V42" s="1817">
        <f t="shared" si="0"/>
        <v>74000</v>
      </c>
      <c r="W42" s="1818"/>
      <c r="X42" s="1819"/>
    </row>
    <row r="43" spans="1:27">
      <c r="A43" s="748"/>
      <c r="B43" s="700"/>
      <c r="C43" s="700"/>
      <c r="D43" s="700"/>
      <c r="E43" s="700"/>
      <c r="F43" s="700"/>
      <c r="G43" s="700"/>
      <c r="H43" s="700"/>
      <c r="I43" s="700"/>
      <c r="J43" s="700"/>
      <c r="K43" s="700"/>
      <c r="L43" s="756"/>
      <c r="M43" s="755" t="s">
        <v>1006</v>
      </c>
      <c r="N43" s="700"/>
      <c r="O43" s="700"/>
      <c r="P43" s="756"/>
      <c r="Q43" s="758">
        <v>8</v>
      </c>
      <c r="R43" s="1813" t="s">
        <v>221</v>
      </c>
      <c r="S43" s="1814"/>
      <c r="T43" s="1815">
        <v>52000</v>
      </c>
      <c r="U43" s="1816"/>
      <c r="V43" s="1817">
        <f>Q43*T43</f>
        <v>416000</v>
      </c>
      <c r="W43" s="1818"/>
      <c r="X43" s="1819"/>
    </row>
    <row r="44" spans="1:27">
      <c r="A44" s="748"/>
      <c r="B44" s="700"/>
      <c r="C44" s="700"/>
      <c r="D44" s="700"/>
      <c r="E44" s="700"/>
      <c r="F44" s="700"/>
      <c r="G44" s="700"/>
      <c r="H44" s="700"/>
      <c r="I44" s="700"/>
      <c r="J44" s="700"/>
      <c r="K44" s="700"/>
      <c r="L44" s="756"/>
      <c r="M44" s="755"/>
      <c r="N44" s="700"/>
      <c r="O44" s="700"/>
      <c r="P44" s="756"/>
      <c r="Q44" s="758"/>
      <c r="R44" s="758"/>
      <c r="S44" s="759"/>
      <c r="T44" s="760"/>
      <c r="U44" s="761"/>
      <c r="V44" s="762"/>
      <c r="W44" s="763"/>
      <c r="X44" s="764"/>
    </row>
    <row r="45" spans="1:27">
      <c r="A45" s="748"/>
      <c r="B45" s="700"/>
      <c r="C45" s="700"/>
      <c r="D45" s="700"/>
      <c r="E45" s="700"/>
      <c r="F45" s="700"/>
      <c r="G45" s="700"/>
      <c r="H45" s="700"/>
      <c r="I45" s="700"/>
      <c r="J45" s="700"/>
      <c r="K45" s="700"/>
      <c r="L45" s="756"/>
      <c r="M45" s="724" t="s">
        <v>1015</v>
      </c>
      <c r="N45" s="700"/>
      <c r="O45" s="700"/>
      <c r="P45" s="756"/>
      <c r="Q45" s="755"/>
      <c r="R45" s="758"/>
      <c r="S45" s="759"/>
      <c r="T45" s="760"/>
      <c r="U45" s="761"/>
      <c r="V45" s="1805">
        <f>SUM(V46:X56)</f>
        <v>8567000</v>
      </c>
      <c r="W45" s="1806"/>
      <c r="X45" s="1807"/>
    </row>
    <row r="46" spans="1:27">
      <c r="A46" s="748"/>
      <c r="B46" s="700"/>
      <c r="C46" s="700"/>
      <c r="D46" s="700"/>
      <c r="E46" s="700"/>
      <c r="F46" s="700"/>
      <c r="G46" s="700"/>
      <c r="H46" s="700"/>
      <c r="I46" s="700"/>
      <c r="J46" s="700"/>
      <c r="K46" s="700"/>
      <c r="L46" s="756"/>
      <c r="M46" s="755" t="s">
        <v>425</v>
      </c>
      <c r="N46" s="700"/>
      <c r="O46" s="700"/>
      <c r="P46" s="756"/>
      <c r="Q46" s="758">
        <v>250</v>
      </c>
      <c r="R46" s="1813" t="s">
        <v>237</v>
      </c>
      <c r="S46" s="1814"/>
      <c r="T46" s="1815">
        <v>26000</v>
      </c>
      <c r="U46" s="1816"/>
      <c r="V46" s="1817">
        <f t="shared" ref="V46:V56" si="1">Q46*T46</f>
        <v>6500000</v>
      </c>
      <c r="W46" s="1818"/>
      <c r="X46" s="1819"/>
    </row>
    <row r="47" spans="1:27">
      <c r="A47" s="748"/>
      <c r="B47" s="700"/>
      <c r="C47" s="700"/>
      <c r="D47" s="700"/>
      <c r="E47" s="700"/>
      <c r="F47" s="700"/>
      <c r="G47" s="700"/>
      <c r="H47" s="700"/>
      <c r="I47" s="700"/>
      <c r="J47" s="700"/>
      <c r="K47" s="700"/>
      <c r="L47" s="756"/>
      <c r="M47" s="755" t="s">
        <v>424</v>
      </c>
      <c r="N47" s="700"/>
      <c r="O47" s="700"/>
      <c r="P47" s="756"/>
      <c r="Q47" s="758">
        <v>8</v>
      </c>
      <c r="R47" s="1813" t="s">
        <v>237</v>
      </c>
      <c r="S47" s="1814"/>
      <c r="T47" s="1815">
        <v>67500</v>
      </c>
      <c r="U47" s="1816"/>
      <c r="V47" s="1817">
        <f t="shared" si="1"/>
        <v>540000</v>
      </c>
      <c r="W47" s="1818"/>
      <c r="X47" s="1819"/>
    </row>
    <row r="48" spans="1:27">
      <c r="A48" s="748"/>
      <c r="B48" s="700"/>
      <c r="C48" s="700"/>
      <c r="D48" s="700"/>
      <c r="E48" s="700"/>
      <c r="F48" s="700"/>
      <c r="G48" s="700"/>
      <c r="H48" s="700"/>
      <c r="I48" s="700"/>
      <c r="J48" s="700"/>
      <c r="K48" s="700"/>
      <c r="L48" s="756"/>
      <c r="M48" s="755" t="s">
        <v>426</v>
      </c>
      <c r="N48" s="700"/>
      <c r="O48" s="700"/>
      <c r="P48" s="756"/>
      <c r="Q48" s="758">
        <v>8</v>
      </c>
      <c r="R48" s="1813" t="s">
        <v>385</v>
      </c>
      <c r="S48" s="1814"/>
      <c r="T48" s="1815">
        <v>26000</v>
      </c>
      <c r="U48" s="1816"/>
      <c r="V48" s="1817">
        <f t="shared" si="1"/>
        <v>208000</v>
      </c>
      <c r="W48" s="1818"/>
      <c r="X48" s="1819"/>
    </row>
    <row r="49" spans="1:24">
      <c r="A49" s="748"/>
      <c r="B49" s="700"/>
      <c r="C49" s="700"/>
      <c r="D49" s="700"/>
      <c r="E49" s="700"/>
      <c r="F49" s="700"/>
      <c r="G49" s="700"/>
      <c r="H49" s="700"/>
      <c r="I49" s="700"/>
      <c r="J49" s="700"/>
      <c r="K49" s="700"/>
      <c r="L49" s="756"/>
      <c r="M49" s="755" t="s">
        <v>427</v>
      </c>
      <c r="N49" s="700"/>
      <c r="O49" s="700"/>
      <c r="P49" s="756"/>
      <c r="Q49" s="758">
        <v>9</v>
      </c>
      <c r="R49" s="1813" t="s">
        <v>237</v>
      </c>
      <c r="S49" s="1814"/>
      <c r="T49" s="1815">
        <v>67500</v>
      </c>
      <c r="U49" s="1816"/>
      <c r="V49" s="1817">
        <f t="shared" si="1"/>
        <v>607500</v>
      </c>
      <c r="W49" s="1818"/>
      <c r="X49" s="1819"/>
    </row>
    <row r="50" spans="1:24">
      <c r="A50" s="748"/>
      <c r="B50" s="700"/>
      <c r="C50" s="700"/>
      <c r="D50" s="700"/>
      <c r="E50" s="700"/>
      <c r="F50" s="700"/>
      <c r="G50" s="700"/>
      <c r="H50" s="700"/>
      <c r="I50" s="700"/>
      <c r="J50" s="700"/>
      <c r="K50" s="700"/>
      <c r="L50" s="756"/>
      <c r="M50" s="755" t="s">
        <v>428</v>
      </c>
      <c r="N50" s="700"/>
      <c r="O50" s="700"/>
      <c r="P50" s="756"/>
      <c r="Q50" s="758">
        <v>6</v>
      </c>
      <c r="R50" s="1813" t="s">
        <v>385</v>
      </c>
      <c r="S50" s="1814"/>
      <c r="T50" s="1815">
        <v>21500</v>
      </c>
      <c r="U50" s="1816"/>
      <c r="V50" s="1817">
        <f t="shared" si="1"/>
        <v>129000</v>
      </c>
      <c r="W50" s="1818"/>
      <c r="X50" s="1819"/>
    </row>
    <row r="51" spans="1:24">
      <c r="A51" s="748"/>
      <c r="B51" s="700"/>
      <c r="C51" s="700"/>
      <c r="D51" s="700"/>
      <c r="E51" s="700"/>
      <c r="F51" s="700"/>
      <c r="G51" s="700"/>
      <c r="H51" s="700"/>
      <c r="I51" s="700"/>
      <c r="J51" s="700"/>
      <c r="K51" s="700"/>
      <c r="L51" s="756"/>
      <c r="M51" s="755" t="s">
        <v>429</v>
      </c>
      <c r="N51" s="700"/>
      <c r="O51" s="700"/>
      <c r="P51" s="756"/>
      <c r="Q51" s="758">
        <v>5</v>
      </c>
      <c r="R51" s="1813" t="s">
        <v>221</v>
      </c>
      <c r="S51" s="1814"/>
      <c r="T51" s="1815">
        <v>31000</v>
      </c>
      <c r="U51" s="1816"/>
      <c r="V51" s="1817">
        <f t="shared" si="1"/>
        <v>155000</v>
      </c>
      <c r="W51" s="1818"/>
      <c r="X51" s="1819"/>
    </row>
    <row r="52" spans="1:24">
      <c r="A52" s="748"/>
      <c r="B52" s="700"/>
      <c r="C52" s="700"/>
      <c r="D52" s="700"/>
      <c r="E52" s="700"/>
      <c r="F52" s="700"/>
      <c r="G52" s="700"/>
      <c r="H52" s="700"/>
      <c r="I52" s="700"/>
      <c r="J52" s="700"/>
      <c r="K52" s="700"/>
      <c r="L52" s="756"/>
      <c r="M52" s="755" t="s">
        <v>1007</v>
      </c>
      <c r="N52" s="700"/>
      <c r="O52" s="700"/>
      <c r="P52" s="756"/>
      <c r="Q52" s="758">
        <v>4</v>
      </c>
      <c r="R52" s="1813" t="s">
        <v>221</v>
      </c>
      <c r="S52" s="1814"/>
      <c r="T52" s="1815">
        <v>15500</v>
      </c>
      <c r="U52" s="1816"/>
      <c r="V52" s="1817">
        <f t="shared" si="1"/>
        <v>62000</v>
      </c>
      <c r="W52" s="1818"/>
      <c r="X52" s="1819"/>
    </row>
    <row r="53" spans="1:24">
      <c r="A53" s="748"/>
      <c r="B53" s="700"/>
      <c r="C53" s="700"/>
      <c r="D53" s="700"/>
      <c r="E53" s="700"/>
      <c r="F53" s="700"/>
      <c r="G53" s="700"/>
      <c r="H53" s="700"/>
      <c r="I53" s="700"/>
      <c r="J53" s="700"/>
      <c r="K53" s="700"/>
      <c r="L53" s="756"/>
      <c r="M53" s="755" t="s">
        <v>430</v>
      </c>
      <c r="N53" s="700"/>
      <c r="O53" s="700"/>
      <c r="P53" s="756"/>
      <c r="Q53" s="758">
        <v>10</v>
      </c>
      <c r="R53" s="1813" t="s">
        <v>254</v>
      </c>
      <c r="S53" s="1814"/>
      <c r="T53" s="1815">
        <v>3000</v>
      </c>
      <c r="U53" s="1816"/>
      <c r="V53" s="1817">
        <f t="shared" si="1"/>
        <v>30000</v>
      </c>
      <c r="W53" s="1818"/>
      <c r="X53" s="1819"/>
    </row>
    <row r="54" spans="1:24">
      <c r="A54" s="748"/>
      <c r="B54" s="700"/>
      <c r="C54" s="700"/>
      <c r="D54" s="700"/>
      <c r="E54" s="700"/>
      <c r="F54" s="700"/>
      <c r="G54" s="700"/>
      <c r="H54" s="700"/>
      <c r="I54" s="700"/>
      <c r="J54" s="700"/>
      <c r="K54" s="700"/>
      <c r="L54" s="756"/>
      <c r="M54" s="755" t="s">
        <v>431</v>
      </c>
      <c r="N54" s="700"/>
      <c r="O54" s="700"/>
      <c r="P54" s="756"/>
      <c r="Q54" s="758">
        <v>5</v>
      </c>
      <c r="R54" s="1813" t="s">
        <v>237</v>
      </c>
      <c r="S54" s="1814"/>
      <c r="T54" s="1815">
        <v>50000</v>
      </c>
      <c r="U54" s="1816"/>
      <c r="V54" s="1817">
        <f t="shared" si="1"/>
        <v>250000</v>
      </c>
      <c r="W54" s="1818"/>
      <c r="X54" s="1819"/>
    </row>
    <row r="55" spans="1:24">
      <c r="A55" s="748"/>
      <c r="B55" s="700"/>
      <c r="C55" s="700"/>
      <c r="D55" s="700"/>
      <c r="E55" s="700"/>
      <c r="F55" s="700"/>
      <c r="G55" s="700"/>
      <c r="H55" s="700"/>
      <c r="I55" s="700"/>
      <c r="J55" s="700"/>
      <c r="K55" s="700"/>
      <c r="L55" s="756"/>
      <c r="M55" s="755" t="s">
        <v>432</v>
      </c>
      <c r="N55" s="700"/>
      <c r="O55" s="700"/>
      <c r="P55" s="756"/>
      <c r="Q55" s="758">
        <v>10</v>
      </c>
      <c r="R55" s="1813" t="s">
        <v>237</v>
      </c>
      <c r="S55" s="1814"/>
      <c r="T55" s="1815">
        <v>3000</v>
      </c>
      <c r="U55" s="1816"/>
      <c r="V55" s="1817">
        <f t="shared" si="1"/>
        <v>30000</v>
      </c>
      <c r="W55" s="1818"/>
      <c r="X55" s="1819"/>
    </row>
    <row r="56" spans="1:24">
      <c r="A56" s="748"/>
      <c r="B56" s="700"/>
      <c r="C56" s="700"/>
      <c r="D56" s="700"/>
      <c r="E56" s="700"/>
      <c r="F56" s="700"/>
      <c r="G56" s="700"/>
      <c r="H56" s="700"/>
      <c r="I56" s="700"/>
      <c r="J56" s="700"/>
      <c r="K56" s="700"/>
      <c r="L56" s="756"/>
      <c r="M56" s="755" t="s">
        <v>433</v>
      </c>
      <c r="N56" s="700"/>
      <c r="O56" s="700"/>
      <c r="P56" s="756"/>
      <c r="Q56" s="758">
        <v>3</v>
      </c>
      <c r="R56" s="1813" t="s">
        <v>237</v>
      </c>
      <c r="S56" s="1814"/>
      <c r="T56" s="1815">
        <v>18500</v>
      </c>
      <c r="U56" s="1816"/>
      <c r="V56" s="1817">
        <f t="shared" si="1"/>
        <v>55500</v>
      </c>
      <c r="W56" s="1818"/>
      <c r="X56" s="1819"/>
    </row>
    <row r="57" spans="1:24" ht="15.75" thickBot="1">
      <c r="A57" s="766"/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8"/>
      <c r="N57" s="767"/>
      <c r="O57" s="767"/>
      <c r="P57" s="769"/>
      <c r="Q57" s="768"/>
      <c r="R57" s="770"/>
      <c r="S57" s="771"/>
      <c r="T57" s="772"/>
      <c r="U57" s="772"/>
      <c r="V57" s="773"/>
      <c r="W57" s="774"/>
      <c r="X57" s="775"/>
    </row>
    <row r="58" spans="1:24">
      <c r="A58" s="1826" t="s">
        <v>144</v>
      </c>
      <c r="B58" s="1827"/>
      <c r="C58" s="1827"/>
      <c r="D58" s="1827"/>
      <c r="E58" s="1827"/>
      <c r="F58" s="1827"/>
      <c r="G58" s="1827"/>
      <c r="H58" s="1827"/>
      <c r="I58" s="1827"/>
      <c r="J58" s="1827"/>
      <c r="K58" s="1827"/>
      <c r="L58" s="1827"/>
      <c r="M58" s="1827"/>
      <c r="N58" s="1827"/>
      <c r="O58" s="1828"/>
      <c r="P58" s="1829" t="s">
        <v>145</v>
      </c>
      <c r="Q58" s="1830"/>
      <c r="R58" s="1830"/>
      <c r="S58" s="1830"/>
      <c r="T58" s="1831"/>
      <c r="U58" s="1829" t="s">
        <v>491</v>
      </c>
      <c r="V58" s="1830"/>
      <c r="W58" s="1830"/>
      <c r="X58" s="1835"/>
    </row>
    <row r="59" spans="1:24" ht="15.75" thickBot="1">
      <c r="A59" s="766"/>
      <c r="B59" s="767"/>
      <c r="C59" s="767"/>
      <c r="D59" s="767"/>
      <c r="E59" s="767"/>
      <c r="F59" s="767"/>
      <c r="G59" s="767"/>
      <c r="H59" s="767"/>
      <c r="I59" s="767"/>
      <c r="J59" s="767"/>
      <c r="K59" s="767"/>
      <c r="L59" s="767"/>
      <c r="M59" s="767"/>
      <c r="N59" s="767"/>
      <c r="O59" s="767"/>
      <c r="P59" s="1832"/>
      <c r="Q59" s="1833"/>
      <c r="R59" s="1833"/>
      <c r="S59" s="1833"/>
      <c r="T59" s="1834"/>
      <c r="U59" s="1832"/>
      <c r="V59" s="1833"/>
      <c r="W59" s="1833"/>
      <c r="X59" s="1836"/>
    </row>
    <row r="60" spans="1:24">
      <c r="A60" s="748"/>
      <c r="B60" s="700"/>
      <c r="C60" s="700"/>
      <c r="D60" s="700"/>
      <c r="E60" s="700"/>
      <c r="F60" s="700"/>
      <c r="G60" s="700"/>
      <c r="H60" s="700"/>
      <c r="I60" s="700"/>
      <c r="J60" s="700"/>
      <c r="K60" s="700"/>
      <c r="L60" s="700"/>
      <c r="M60" s="700"/>
      <c r="N60" s="700"/>
      <c r="O60" s="700"/>
      <c r="P60" s="700"/>
      <c r="Q60" s="700"/>
      <c r="R60" s="776"/>
      <c r="S60" s="776"/>
      <c r="T60" s="765"/>
      <c r="U60" s="765"/>
      <c r="V60" s="777"/>
      <c r="W60" s="777"/>
      <c r="X60" s="777"/>
    </row>
    <row r="61" spans="1:24">
      <c r="A61" s="748"/>
      <c r="B61" s="700"/>
      <c r="C61" s="700"/>
      <c r="D61" s="700"/>
      <c r="E61" s="700"/>
      <c r="F61" s="700"/>
      <c r="G61" s="700"/>
      <c r="H61" s="700"/>
      <c r="I61" s="700"/>
      <c r="J61" s="700"/>
      <c r="K61" s="700"/>
      <c r="L61" s="700"/>
      <c r="M61" s="700"/>
      <c r="N61" s="700"/>
      <c r="O61" s="700"/>
      <c r="P61" s="700"/>
      <c r="Q61" s="700"/>
      <c r="R61" s="776"/>
      <c r="S61" s="776"/>
      <c r="T61" s="765"/>
      <c r="U61" s="765"/>
      <c r="V61" s="777"/>
      <c r="W61" s="777"/>
      <c r="X61" s="777"/>
    </row>
    <row r="62" spans="1:24" ht="15.75" thickBot="1">
      <c r="A62" s="748"/>
      <c r="B62" s="700"/>
      <c r="C62" s="700"/>
      <c r="D62" s="700"/>
      <c r="E62" s="700"/>
      <c r="F62" s="700"/>
      <c r="G62" s="700"/>
      <c r="H62" s="700"/>
      <c r="I62" s="700"/>
      <c r="J62" s="700"/>
      <c r="K62" s="700"/>
      <c r="L62" s="700"/>
      <c r="M62" s="700"/>
      <c r="N62" s="700"/>
      <c r="O62" s="700"/>
      <c r="P62" s="700"/>
      <c r="Q62" s="700"/>
      <c r="R62" s="776"/>
      <c r="S62" s="776"/>
      <c r="T62" s="765"/>
      <c r="U62" s="765"/>
      <c r="V62" s="777"/>
      <c r="W62" s="777"/>
      <c r="X62" s="777"/>
    </row>
    <row r="63" spans="1:24">
      <c r="A63" s="778"/>
      <c r="B63" s="779"/>
      <c r="C63" s="779"/>
      <c r="D63" s="779"/>
      <c r="E63" s="779"/>
      <c r="F63" s="779"/>
      <c r="G63" s="779"/>
      <c r="H63" s="779"/>
      <c r="I63" s="779"/>
      <c r="J63" s="779"/>
      <c r="K63" s="779"/>
      <c r="L63" s="779"/>
      <c r="M63" s="780"/>
      <c r="N63" s="779"/>
      <c r="O63" s="779"/>
      <c r="P63" s="779"/>
      <c r="Q63" s="780"/>
      <c r="R63" s="781"/>
      <c r="S63" s="782"/>
      <c r="T63" s="783"/>
      <c r="U63" s="784"/>
      <c r="V63" s="785"/>
      <c r="W63" s="786"/>
      <c r="X63" s="787"/>
    </row>
    <row r="64" spans="1:24">
      <c r="A64" s="748"/>
      <c r="B64" s="700"/>
      <c r="C64" s="700"/>
      <c r="D64" s="700"/>
      <c r="E64" s="700"/>
      <c r="F64" s="700"/>
      <c r="G64" s="700"/>
      <c r="H64" s="700"/>
      <c r="I64" s="700"/>
      <c r="J64" s="700"/>
      <c r="K64" s="700"/>
      <c r="L64" s="700"/>
      <c r="M64" s="755"/>
      <c r="N64" s="700"/>
      <c r="O64" s="700"/>
      <c r="P64" s="700"/>
      <c r="Q64" s="755"/>
      <c r="R64" s="758"/>
      <c r="S64" s="776"/>
      <c r="T64" s="760"/>
      <c r="U64" s="765"/>
      <c r="V64" s="788"/>
      <c r="W64" s="777"/>
      <c r="X64" s="789"/>
    </row>
    <row r="65" spans="1:27">
      <c r="A65" s="1802" t="s">
        <v>649</v>
      </c>
      <c r="B65" s="1803"/>
      <c r="C65" s="1803"/>
      <c r="D65" s="1803"/>
      <c r="E65" s="1803"/>
      <c r="F65" s="1803"/>
      <c r="G65" s="1803"/>
      <c r="H65" s="1803"/>
      <c r="I65" s="1803"/>
      <c r="J65" s="1803"/>
      <c r="K65" s="1803"/>
      <c r="L65" s="1804"/>
      <c r="M65" s="724" t="s">
        <v>204</v>
      </c>
      <c r="N65" s="700"/>
      <c r="O65" s="700"/>
      <c r="P65" s="756"/>
      <c r="Q65" s="755"/>
      <c r="R65" s="755"/>
      <c r="S65" s="756"/>
      <c r="T65" s="700"/>
      <c r="U65" s="700"/>
      <c r="V65" s="1859">
        <f>V68+V71+V72</f>
        <v>7938000</v>
      </c>
      <c r="W65" s="1860"/>
      <c r="X65" s="1861"/>
    </row>
    <row r="66" spans="1:27">
      <c r="A66" s="1802" t="s">
        <v>1103</v>
      </c>
      <c r="B66" s="1803"/>
      <c r="C66" s="1803"/>
      <c r="D66" s="1803"/>
      <c r="E66" s="1803"/>
      <c r="F66" s="1803"/>
      <c r="G66" s="1803"/>
      <c r="H66" s="1803"/>
      <c r="I66" s="1803"/>
      <c r="J66" s="1803"/>
      <c r="K66" s="1803"/>
      <c r="L66" s="1804"/>
      <c r="M66" s="710" t="s">
        <v>386</v>
      </c>
      <c r="N66" s="711"/>
      <c r="O66" s="711"/>
      <c r="P66" s="712"/>
      <c r="Q66" s="755"/>
      <c r="R66" s="755"/>
      <c r="S66" s="756"/>
      <c r="T66" s="700"/>
      <c r="U66" s="700"/>
      <c r="V66" s="790"/>
      <c r="W66" s="791"/>
      <c r="X66" s="792"/>
      <c r="Z66" s="79"/>
    </row>
    <row r="67" spans="1:27">
      <c r="A67" s="734"/>
      <c r="B67" s="735"/>
      <c r="C67" s="711"/>
      <c r="D67" s="735"/>
      <c r="E67" s="735"/>
      <c r="F67" s="735"/>
      <c r="G67" s="735"/>
      <c r="H67" s="735"/>
      <c r="I67" s="711"/>
      <c r="J67" s="711"/>
      <c r="K67" s="793"/>
      <c r="L67" s="794"/>
      <c r="M67" s="710" t="s">
        <v>387</v>
      </c>
      <c r="N67" s="700"/>
      <c r="O67" s="700"/>
      <c r="P67" s="756"/>
      <c r="Q67" s="755"/>
      <c r="R67" s="755"/>
      <c r="S67" s="756"/>
      <c r="T67" s="1815"/>
      <c r="U67" s="1816"/>
      <c r="V67" s="1862"/>
      <c r="W67" s="1863"/>
      <c r="X67" s="1864"/>
    </row>
    <row r="68" spans="1:27" ht="26.25" customHeight="1">
      <c r="A68" s="748"/>
      <c r="B68" s="700"/>
      <c r="C68" s="700"/>
      <c r="D68" s="700"/>
      <c r="E68" s="700"/>
      <c r="F68" s="700"/>
      <c r="G68" s="700"/>
      <c r="H68" s="700"/>
      <c r="I68" s="700"/>
      <c r="J68" s="700"/>
      <c r="K68" s="700"/>
      <c r="L68" s="756"/>
      <c r="M68" s="1843" t="s">
        <v>1016</v>
      </c>
      <c r="N68" s="1841"/>
      <c r="O68" s="1841"/>
      <c r="P68" s="1842"/>
      <c r="Q68" s="758">
        <v>60</v>
      </c>
      <c r="R68" s="1773" t="s">
        <v>487</v>
      </c>
      <c r="S68" s="1865"/>
      <c r="T68" s="1844">
        <v>75000</v>
      </c>
      <c r="U68" s="1845"/>
      <c r="V68" s="1837">
        <f>Q68*T68</f>
        <v>4500000</v>
      </c>
      <c r="W68" s="1838"/>
      <c r="X68" s="1839"/>
    </row>
    <row r="69" spans="1:27">
      <c r="A69" s="748"/>
      <c r="B69" s="700"/>
      <c r="C69" s="700"/>
      <c r="D69" s="700"/>
      <c r="E69" s="700"/>
      <c r="F69" s="700"/>
      <c r="G69" s="700"/>
      <c r="H69" s="700"/>
      <c r="I69" s="700"/>
      <c r="J69" s="700"/>
      <c r="K69" s="700"/>
      <c r="L69" s="756"/>
      <c r="M69" s="755" t="s">
        <v>1008</v>
      </c>
      <c r="N69" s="700"/>
      <c r="O69" s="700"/>
      <c r="P69" s="756"/>
      <c r="Q69" s="758"/>
      <c r="R69" s="755"/>
      <c r="S69" s="756"/>
      <c r="T69" s="796"/>
      <c r="U69" s="796"/>
      <c r="V69" s="790"/>
      <c r="W69" s="791"/>
      <c r="X69" s="792"/>
    </row>
    <row r="70" spans="1:27" ht="31.5" customHeight="1">
      <c r="A70" s="748"/>
      <c r="B70" s="700"/>
      <c r="C70" s="700"/>
      <c r="D70" s="700"/>
      <c r="E70" s="700"/>
      <c r="F70" s="700"/>
      <c r="G70" s="700"/>
      <c r="H70" s="700"/>
      <c r="I70" s="700"/>
      <c r="J70" s="700"/>
      <c r="K70" s="700"/>
      <c r="L70" s="756"/>
      <c r="M70" s="1843" t="s">
        <v>1017</v>
      </c>
      <c r="N70" s="1841"/>
      <c r="O70" s="1841"/>
      <c r="P70" s="1842"/>
      <c r="Q70" s="758"/>
      <c r="R70" s="1813"/>
      <c r="S70" s="1814"/>
      <c r="T70" s="1844"/>
      <c r="U70" s="1845"/>
      <c r="V70" s="1837"/>
      <c r="W70" s="1838"/>
      <c r="X70" s="1839"/>
      <c r="Z70" s="79">
        <f>7938000-V65</f>
        <v>0</v>
      </c>
    </row>
    <row r="71" spans="1:27">
      <c r="A71" s="748"/>
      <c r="B71" s="700"/>
      <c r="C71" s="700"/>
      <c r="D71" s="700"/>
      <c r="E71" s="700"/>
      <c r="F71" s="700"/>
      <c r="G71" s="700"/>
      <c r="H71" s="700"/>
      <c r="I71" s="700"/>
      <c r="J71" s="700"/>
      <c r="K71" s="700"/>
      <c r="L71" s="756"/>
      <c r="M71" s="755" t="s">
        <v>1009</v>
      </c>
      <c r="N71" s="700"/>
      <c r="O71" s="700"/>
      <c r="P71" s="756"/>
      <c r="Q71" s="758">
        <v>45</v>
      </c>
      <c r="R71" s="1813" t="s">
        <v>388</v>
      </c>
      <c r="S71" s="1814"/>
      <c r="T71" s="1844">
        <v>75000</v>
      </c>
      <c r="U71" s="1845"/>
      <c r="V71" s="1837">
        <f>Q71*T71</f>
        <v>3375000</v>
      </c>
      <c r="W71" s="1838"/>
      <c r="X71" s="1839"/>
    </row>
    <row r="72" spans="1:27">
      <c r="A72" s="748"/>
      <c r="B72" s="700"/>
      <c r="C72" s="700"/>
      <c r="D72" s="700"/>
      <c r="E72" s="700"/>
      <c r="F72" s="700"/>
      <c r="G72" s="700"/>
      <c r="H72" s="700"/>
      <c r="I72" s="700"/>
      <c r="J72" s="700"/>
      <c r="K72" s="700"/>
      <c r="L72" s="700"/>
      <c r="M72" s="1840"/>
      <c r="N72" s="1841"/>
      <c r="O72" s="1841"/>
      <c r="P72" s="1842"/>
      <c r="Q72" s="758"/>
      <c r="R72" s="755"/>
      <c r="S72" s="700"/>
      <c r="T72" s="797"/>
      <c r="U72" s="796"/>
      <c r="V72" s="1837">
        <v>63000</v>
      </c>
      <c r="W72" s="1838"/>
      <c r="X72" s="1839"/>
    </row>
    <row r="73" spans="1:27">
      <c r="A73" s="748"/>
      <c r="B73" s="700"/>
      <c r="C73" s="700"/>
      <c r="D73" s="700"/>
      <c r="E73" s="700"/>
      <c r="F73" s="700"/>
      <c r="G73" s="700"/>
      <c r="H73" s="700"/>
      <c r="I73" s="700"/>
      <c r="J73" s="700"/>
      <c r="K73" s="700"/>
      <c r="L73" s="700"/>
      <c r="M73" s="795"/>
      <c r="N73" s="700"/>
      <c r="O73" s="700"/>
      <c r="P73" s="700"/>
      <c r="Q73" s="758"/>
      <c r="R73" s="755"/>
      <c r="S73" s="700"/>
      <c r="T73" s="797"/>
      <c r="U73" s="796"/>
      <c r="V73" s="788"/>
      <c r="W73" s="777"/>
      <c r="X73" s="789"/>
    </row>
    <row r="74" spans="1:27">
      <c r="A74" s="748"/>
      <c r="B74" s="700"/>
      <c r="C74" s="700"/>
      <c r="D74" s="700"/>
      <c r="E74" s="700"/>
      <c r="F74" s="700"/>
      <c r="G74" s="700"/>
      <c r="H74" s="700"/>
      <c r="I74" s="700"/>
      <c r="J74" s="700"/>
      <c r="K74" s="700"/>
      <c r="L74" s="700"/>
      <c r="M74" s="795"/>
      <c r="N74" s="700"/>
      <c r="O74" s="700"/>
      <c r="P74" s="700"/>
      <c r="Q74" s="758"/>
      <c r="R74" s="755"/>
      <c r="S74" s="700"/>
      <c r="T74" s="797"/>
      <c r="U74" s="796"/>
      <c r="V74" s="788"/>
      <c r="W74" s="777"/>
      <c r="X74" s="789"/>
      <c r="Z74">
        <f>3*15</f>
        <v>45</v>
      </c>
    </row>
    <row r="75" spans="1:27">
      <c r="A75" s="748"/>
      <c r="B75" s="700"/>
      <c r="C75" s="700"/>
      <c r="D75" s="700"/>
      <c r="E75" s="700"/>
      <c r="F75" s="700"/>
      <c r="G75" s="700"/>
      <c r="H75" s="700"/>
      <c r="I75" s="700"/>
      <c r="J75" s="700"/>
      <c r="K75" s="700"/>
      <c r="L75" s="700"/>
      <c r="M75" s="798"/>
      <c r="N75" s="700"/>
      <c r="O75" s="700"/>
      <c r="P75" s="700"/>
      <c r="Q75" s="799"/>
      <c r="R75" s="799"/>
      <c r="S75" s="700"/>
      <c r="T75" s="800"/>
      <c r="U75" s="796"/>
      <c r="V75" s="1849"/>
      <c r="W75" s="1850"/>
      <c r="X75" s="1851"/>
    </row>
    <row r="76" spans="1:27" ht="15.75" thickBot="1">
      <c r="A76" s="1852" t="s">
        <v>15</v>
      </c>
      <c r="B76" s="1853"/>
      <c r="C76" s="1853"/>
      <c r="D76" s="1853"/>
      <c r="E76" s="1853"/>
      <c r="F76" s="1853"/>
      <c r="G76" s="1853"/>
      <c r="H76" s="1853"/>
      <c r="I76" s="1853"/>
      <c r="J76" s="1853"/>
      <c r="K76" s="1853"/>
      <c r="L76" s="1853"/>
      <c r="M76" s="1853"/>
      <c r="N76" s="1853"/>
      <c r="O76" s="1853"/>
      <c r="P76" s="1853"/>
      <c r="Q76" s="1853"/>
      <c r="R76" s="1854"/>
      <c r="S76" s="1854"/>
      <c r="T76" s="1854"/>
      <c r="U76" s="1855"/>
      <c r="V76" s="1856">
        <f>V29+V65</f>
        <v>24347000</v>
      </c>
      <c r="W76" s="1857"/>
      <c r="X76" s="1858"/>
      <c r="Z76" s="79"/>
    </row>
    <row r="77" spans="1:27" ht="19.5" customHeight="1" thickBot="1">
      <c r="A77" s="899" t="s">
        <v>105</v>
      </c>
      <c r="B77" s="901"/>
      <c r="C77" s="900"/>
      <c r="D77" s="900"/>
      <c r="E77" s="900"/>
      <c r="F77" s="900"/>
      <c r="G77" s="900"/>
      <c r="H77" s="900"/>
      <c r="I77" s="900"/>
      <c r="J77" s="900"/>
      <c r="K77" s="900"/>
      <c r="L77" s="900"/>
      <c r="M77" s="900"/>
      <c r="N77" s="900"/>
      <c r="O77" s="900"/>
      <c r="P77" s="900"/>
      <c r="Q77" s="900"/>
      <c r="R77" s="1821"/>
      <c r="S77" s="1821"/>
      <c r="T77" s="1821"/>
      <c r="U77" s="1821"/>
      <c r="V77" s="1821"/>
      <c r="W77" s="1821"/>
      <c r="X77" s="1822"/>
      <c r="AA77" s="79"/>
    </row>
    <row r="78" spans="1:27">
      <c r="A78" s="748" t="s">
        <v>106</v>
      </c>
      <c r="B78" s="700"/>
      <c r="C78" s="700"/>
      <c r="D78" s="700"/>
      <c r="E78" s="711" t="s">
        <v>17</v>
      </c>
      <c r="F78" s="1818">
        <v>6086750</v>
      </c>
      <c r="G78" s="1818"/>
      <c r="H78" s="1818"/>
      <c r="I78" s="1818"/>
      <c r="J78" s="1818"/>
      <c r="K78" s="1818"/>
      <c r="L78" s="1818"/>
      <c r="M78" s="700"/>
      <c r="N78" s="700"/>
      <c r="O78" s="700"/>
      <c r="P78" s="700"/>
      <c r="Q78" s="700"/>
      <c r="R78" s="1823" t="s">
        <v>584</v>
      </c>
      <c r="S78" s="1823"/>
      <c r="T78" s="1823"/>
      <c r="U78" s="1823"/>
      <c r="V78" s="1823"/>
      <c r="W78" s="1823"/>
      <c r="X78" s="1824"/>
    </row>
    <row r="79" spans="1:27">
      <c r="A79" s="748" t="s">
        <v>107</v>
      </c>
      <c r="B79" s="700"/>
      <c r="C79" s="700"/>
      <c r="D79" s="700"/>
      <c r="E79" s="711" t="s">
        <v>17</v>
      </c>
      <c r="F79" s="1818">
        <v>6086750</v>
      </c>
      <c r="G79" s="1818"/>
      <c r="H79" s="1818"/>
      <c r="I79" s="1818"/>
      <c r="J79" s="1818"/>
      <c r="K79" s="1818"/>
      <c r="L79" s="1818"/>
      <c r="M79" s="700"/>
      <c r="N79" s="700"/>
      <c r="O79" s="700"/>
      <c r="P79" s="700"/>
      <c r="Q79" s="700"/>
      <c r="R79" s="1823" t="s">
        <v>585</v>
      </c>
      <c r="S79" s="1823"/>
      <c r="T79" s="1823"/>
      <c r="U79" s="1823"/>
      <c r="V79" s="1823"/>
      <c r="W79" s="1823"/>
      <c r="X79" s="1824"/>
    </row>
    <row r="80" spans="1:27">
      <c r="A80" s="748" t="s">
        <v>108</v>
      </c>
      <c r="B80" s="700"/>
      <c r="C80" s="700"/>
      <c r="D80" s="700"/>
      <c r="E80" s="711" t="s">
        <v>17</v>
      </c>
      <c r="F80" s="1818">
        <v>6086750</v>
      </c>
      <c r="G80" s="1818"/>
      <c r="H80" s="1818"/>
      <c r="I80" s="1818"/>
      <c r="J80" s="1818"/>
      <c r="K80" s="1818"/>
      <c r="L80" s="1818"/>
      <c r="M80" s="700"/>
      <c r="N80" s="700"/>
      <c r="O80" s="700"/>
      <c r="P80" s="700"/>
      <c r="Q80" s="700"/>
      <c r="R80" s="700"/>
      <c r="S80" s="700"/>
      <c r="T80" s="889"/>
      <c r="U80" s="889"/>
      <c r="V80" s="889"/>
      <c r="W80" s="889"/>
      <c r="X80" s="749"/>
    </row>
    <row r="81" spans="1:26" ht="15.75" thickBot="1">
      <c r="A81" s="748" t="s">
        <v>109</v>
      </c>
      <c r="B81" s="700"/>
      <c r="C81" s="700"/>
      <c r="D81" s="700"/>
      <c r="E81" s="711" t="s">
        <v>17</v>
      </c>
      <c r="F81" s="1825">
        <v>6086750</v>
      </c>
      <c r="G81" s="1825"/>
      <c r="H81" s="1825"/>
      <c r="I81" s="1825"/>
      <c r="J81" s="1825"/>
      <c r="K81" s="1825"/>
      <c r="L81" s="1825"/>
      <c r="M81" s="700"/>
      <c r="N81" s="700"/>
      <c r="O81" s="700"/>
      <c r="P81" s="700"/>
      <c r="Q81" s="700"/>
      <c r="R81" s="700"/>
      <c r="S81" s="700"/>
      <c r="T81" s="700"/>
      <c r="U81" s="700"/>
      <c r="V81" s="700"/>
      <c r="W81" s="700"/>
      <c r="X81" s="749"/>
    </row>
    <row r="82" spans="1:26">
      <c r="A82" s="748" t="s">
        <v>15</v>
      </c>
      <c r="B82" s="700"/>
      <c r="C82" s="700"/>
      <c r="D82" s="700"/>
      <c r="E82" s="711" t="s">
        <v>17</v>
      </c>
      <c r="F82" s="1818">
        <f>SUM(F78:L81)</f>
        <v>24347000</v>
      </c>
      <c r="G82" s="1818"/>
      <c r="H82" s="1818"/>
      <c r="I82" s="1818"/>
      <c r="J82" s="1818"/>
      <c r="K82" s="1818"/>
      <c r="L82" s="1818"/>
      <c r="M82" s="700"/>
      <c r="N82" s="700"/>
      <c r="O82" s="700"/>
      <c r="P82" s="700"/>
      <c r="Q82" s="700"/>
      <c r="R82" s="1847"/>
      <c r="S82" s="1847"/>
      <c r="T82" s="1847"/>
      <c r="U82" s="1847"/>
      <c r="V82" s="1847"/>
      <c r="W82" s="1847"/>
      <c r="X82" s="1848"/>
      <c r="Z82" s="79">
        <f>V76/4</f>
        <v>6086750</v>
      </c>
    </row>
    <row r="83" spans="1:26">
      <c r="A83" s="748"/>
      <c r="B83" s="700"/>
      <c r="C83" s="700"/>
      <c r="D83" s="700"/>
      <c r="E83" s="700"/>
      <c r="F83" s="700"/>
      <c r="G83" s="700"/>
      <c r="H83" s="700"/>
      <c r="I83" s="700"/>
      <c r="J83" s="700"/>
      <c r="K83" s="700"/>
      <c r="L83" s="700"/>
      <c r="M83" s="700"/>
      <c r="N83" s="700"/>
      <c r="O83" s="700"/>
      <c r="P83" s="700"/>
      <c r="Q83" s="700"/>
      <c r="R83" s="1847" t="s">
        <v>849</v>
      </c>
      <c r="S83" s="1847"/>
      <c r="T83" s="1847"/>
      <c r="U83" s="1847"/>
      <c r="V83" s="1847"/>
      <c r="W83" s="1847"/>
      <c r="X83" s="1848"/>
    </row>
    <row r="84" spans="1:26">
      <c r="A84" s="748"/>
      <c r="B84" s="700"/>
      <c r="C84" s="700"/>
      <c r="D84" s="700"/>
      <c r="E84" s="700"/>
      <c r="F84" s="700"/>
      <c r="G84" s="700"/>
      <c r="H84" s="700"/>
      <c r="I84" s="700"/>
      <c r="J84" s="700"/>
      <c r="K84" s="700"/>
      <c r="L84" s="700"/>
      <c r="M84" s="700"/>
      <c r="N84" s="700"/>
      <c r="O84" s="700"/>
      <c r="P84" s="700"/>
      <c r="Q84" s="700"/>
      <c r="R84" s="1774" t="s">
        <v>914</v>
      </c>
      <c r="S84" s="1774"/>
      <c r="T84" s="1774"/>
      <c r="U84" s="1774"/>
      <c r="V84" s="1774"/>
      <c r="W84" s="1774"/>
      <c r="X84" s="1775"/>
    </row>
    <row r="85" spans="1:26">
      <c r="A85" s="748"/>
      <c r="B85" s="700"/>
      <c r="C85" s="700"/>
      <c r="D85" s="700"/>
      <c r="E85" s="700"/>
      <c r="F85" s="700"/>
      <c r="G85" s="700"/>
      <c r="H85" s="700"/>
      <c r="I85" s="700"/>
      <c r="J85" s="700"/>
      <c r="K85" s="700"/>
      <c r="L85" s="700"/>
      <c r="M85" s="700"/>
      <c r="N85" s="700"/>
      <c r="O85" s="700"/>
      <c r="P85" s="700"/>
      <c r="Q85" s="700"/>
      <c r="R85" s="1774"/>
      <c r="S85" s="1774"/>
      <c r="T85" s="1774"/>
      <c r="U85" s="1774"/>
      <c r="V85" s="1774"/>
      <c r="W85" s="1774"/>
      <c r="X85" s="1775"/>
    </row>
    <row r="86" spans="1:26">
      <c r="A86" s="748"/>
      <c r="B86" s="700"/>
      <c r="C86" s="700"/>
      <c r="D86" s="700"/>
      <c r="E86" s="700"/>
      <c r="F86" s="700"/>
      <c r="G86" s="700"/>
      <c r="H86" s="700"/>
      <c r="I86" s="700"/>
      <c r="J86" s="700"/>
      <c r="K86" s="700"/>
      <c r="L86" s="700"/>
      <c r="M86" s="700"/>
      <c r="N86" s="700"/>
      <c r="O86" s="700"/>
      <c r="P86" s="700"/>
      <c r="Q86" s="754"/>
      <c r="R86" s="1793"/>
      <c r="S86" s="1793"/>
      <c r="T86" s="1793"/>
      <c r="U86" s="1793"/>
      <c r="V86" s="1793"/>
      <c r="W86" s="1793"/>
      <c r="X86" s="1794"/>
    </row>
    <row r="87" spans="1:26">
      <c r="A87" s="1763" t="s">
        <v>1018</v>
      </c>
      <c r="B87" s="1764"/>
      <c r="C87" s="1764"/>
      <c r="D87" s="1764"/>
      <c r="E87" s="1764"/>
      <c r="F87" s="1764"/>
      <c r="G87" s="1764"/>
      <c r="H87" s="1764"/>
      <c r="I87" s="1764"/>
      <c r="J87" s="1764"/>
      <c r="K87" s="1764"/>
      <c r="L87" s="1764"/>
      <c r="M87" s="1764"/>
      <c r="N87" s="1764"/>
      <c r="O87" s="1764"/>
      <c r="P87" s="1764"/>
      <c r="Q87" s="754"/>
      <c r="R87" s="1773" t="s">
        <v>921</v>
      </c>
      <c r="S87" s="1774"/>
      <c r="T87" s="1774"/>
      <c r="U87" s="1774"/>
      <c r="V87" s="1774"/>
      <c r="W87" s="1774"/>
      <c r="X87" s="1775"/>
    </row>
    <row r="88" spans="1:26">
      <c r="A88" s="736"/>
      <c r="B88" s="723"/>
      <c r="C88" s="723"/>
      <c r="D88" s="723"/>
      <c r="E88" s="723"/>
      <c r="F88" s="723"/>
      <c r="G88" s="723"/>
      <c r="H88" s="723"/>
      <c r="I88" s="723"/>
      <c r="J88" s="723"/>
      <c r="K88" s="723"/>
      <c r="L88" s="723"/>
      <c r="M88" s="723"/>
      <c r="N88" s="723"/>
      <c r="O88" s="723"/>
      <c r="P88" s="723"/>
      <c r="Q88" s="700"/>
      <c r="R88" s="1813" t="s">
        <v>155</v>
      </c>
      <c r="S88" s="1823"/>
      <c r="T88" s="1823"/>
      <c r="U88" s="1823"/>
      <c r="V88" s="1823"/>
      <c r="W88" s="1823"/>
      <c r="X88" s="1824"/>
    </row>
    <row r="89" spans="1:26">
      <c r="A89" s="748">
        <v>1</v>
      </c>
      <c r="B89" s="700" t="s">
        <v>460</v>
      </c>
      <c r="C89" s="700"/>
      <c r="D89" s="700"/>
      <c r="E89" s="700"/>
      <c r="F89" s="700"/>
      <c r="G89" s="700"/>
      <c r="H89" s="700"/>
      <c r="I89" s="700"/>
      <c r="J89" s="700"/>
      <c r="K89" s="700" t="s">
        <v>193</v>
      </c>
      <c r="L89" s="700"/>
      <c r="M89" s="700"/>
      <c r="N89" s="700"/>
      <c r="O89" s="700"/>
      <c r="P89" s="700"/>
      <c r="Q89" s="700"/>
      <c r="R89" s="1813" t="s">
        <v>114</v>
      </c>
      <c r="S89" s="1823"/>
      <c r="T89" s="1823"/>
      <c r="U89" s="1823"/>
      <c r="V89" s="1823"/>
      <c r="W89" s="1823"/>
      <c r="X89" s="1824"/>
    </row>
    <row r="90" spans="1:26">
      <c r="A90" s="748"/>
      <c r="B90" s="700" t="s">
        <v>1019</v>
      </c>
      <c r="C90" s="700"/>
      <c r="D90" s="700"/>
      <c r="E90" s="700"/>
      <c r="F90" s="700"/>
      <c r="G90" s="700"/>
      <c r="H90" s="700"/>
      <c r="I90" s="700"/>
      <c r="J90" s="700"/>
      <c r="K90" s="700"/>
      <c r="L90" s="700"/>
      <c r="M90" s="700"/>
      <c r="N90" s="700"/>
      <c r="O90" s="700"/>
      <c r="P90" s="700"/>
      <c r="Q90" s="700"/>
      <c r="R90" s="888"/>
      <c r="S90" s="889"/>
      <c r="T90" s="889"/>
      <c r="U90" s="889"/>
      <c r="V90" s="889"/>
      <c r="W90" s="889"/>
      <c r="X90" s="890"/>
    </row>
    <row r="91" spans="1:26">
      <c r="A91" s="748"/>
      <c r="B91" s="700"/>
      <c r="C91" s="700"/>
      <c r="D91" s="700"/>
      <c r="E91" s="700"/>
      <c r="F91" s="700"/>
      <c r="G91" s="700"/>
      <c r="H91" s="700"/>
      <c r="I91" s="700"/>
      <c r="J91" s="700"/>
      <c r="K91" s="700"/>
      <c r="L91" s="700"/>
      <c r="M91" s="700"/>
      <c r="N91" s="700"/>
      <c r="O91" s="700"/>
      <c r="P91" s="700"/>
      <c r="Q91" s="700"/>
      <c r="R91" s="755"/>
      <c r="S91" s="700"/>
      <c r="T91" s="700"/>
      <c r="U91" s="700"/>
      <c r="V91" s="700"/>
      <c r="W91" s="700"/>
      <c r="X91" s="749"/>
    </row>
    <row r="92" spans="1:26">
      <c r="A92" s="748">
        <v>2</v>
      </c>
      <c r="B92" s="700" t="s">
        <v>194</v>
      </c>
      <c r="C92" s="700"/>
      <c r="D92" s="700"/>
      <c r="E92" s="700"/>
      <c r="F92" s="700"/>
      <c r="G92" s="700"/>
      <c r="H92" s="700"/>
      <c r="I92" s="700"/>
      <c r="J92" s="700"/>
      <c r="K92" s="700"/>
      <c r="L92" s="700"/>
      <c r="M92" s="700"/>
      <c r="N92" s="700" t="s">
        <v>195</v>
      </c>
      <c r="O92" s="700"/>
      <c r="P92" s="700"/>
      <c r="Q92" s="700"/>
      <c r="R92" s="755"/>
      <c r="S92" s="700"/>
      <c r="T92" s="700"/>
      <c r="U92" s="700"/>
      <c r="V92" s="700"/>
      <c r="W92" s="700"/>
      <c r="X92" s="749"/>
    </row>
    <row r="93" spans="1:26">
      <c r="A93" s="748"/>
      <c r="B93" s="700" t="s">
        <v>1019</v>
      </c>
      <c r="C93" s="700"/>
      <c r="D93" s="700"/>
      <c r="E93" s="700"/>
      <c r="F93" s="700"/>
      <c r="G93" s="700"/>
      <c r="H93" s="700"/>
      <c r="I93" s="700"/>
      <c r="J93" s="700"/>
      <c r="K93" s="700"/>
      <c r="L93" s="700"/>
      <c r="M93" s="700"/>
      <c r="N93" s="700"/>
      <c r="O93" s="700"/>
      <c r="P93" s="700"/>
      <c r="Q93" s="700"/>
      <c r="R93" s="755"/>
      <c r="S93" s="700"/>
      <c r="T93" s="700"/>
      <c r="U93" s="700"/>
      <c r="V93" s="700"/>
      <c r="W93" s="700"/>
      <c r="X93" s="749"/>
    </row>
    <row r="94" spans="1:26">
      <c r="A94" s="748"/>
      <c r="B94" s="700"/>
      <c r="C94" s="700"/>
      <c r="D94" s="700"/>
      <c r="E94" s="700"/>
      <c r="F94" s="700"/>
      <c r="G94" s="700"/>
      <c r="H94" s="700"/>
      <c r="I94" s="700"/>
      <c r="J94" s="700"/>
      <c r="K94" s="700"/>
      <c r="L94" s="700"/>
      <c r="M94" s="700"/>
      <c r="N94" s="700"/>
      <c r="O94" s="700"/>
      <c r="P94" s="700"/>
      <c r="Q94" s="700"/>
      <c r="R94" s="1846" t="s">
        <v>115</v>
      </c>
      <c r="S94" s="1847"/>
      <c r="T94" s="1847"/>
      <c r="U94" s="1847"/>
      <c r="V94" s="1847"/>
      <c r="W94" s="1847"/>
      <c r="X94" s="1848"/>
    </row>
    <row r="95" spans="1:26">
      <c r="A95" s="748"/>
      <c r="B95" s="700"/>
      <c r="C95" s="700"/>
      <c r="D95" s="700"/>
      <c r="E95" s="700"/>
      <c r="F95" s="700"/>
      <c r="G95" s="700"/>
      <c r="H95" s="700"/>
      <c r="I95" s="700"/>
      <c r="J95" s="700"/>
      <c r="K95" s="700"/>
      <c r="L95" s="700"/>
      <c r="M95" s="700"/>
      <c r="N95" s="700"/>
      <c r="O95" s="700"/>
      <c r="P95" s="700"/>
      <c r="Q95" s="700"/>
      <c r="R95" s="1813" t="s">
        <v>116</v>
      </c>
      <c r="S95" s="1823"/>
      <c r="T95" s="1823"/>
      <c r="U95" s="1823"/>
      <c r="V95" s="1823"/>
      <c r="W95" s="1823"/>
      <c r="X95" s="1824"/>
    </row>
    <row r="96" spans="1:26" ht="15.75" thickBot="1">
      <c r="A96" s="766"/>
      <c r="B96" s="767"/>
      <c r="C96" s="767"/>
      <c r="D96" s="767"/>
      <c r="E96" s="767"/>
      <c r="F96" s="767"/>
      <c r="G96" s="767"/>
      <c r="H96" s="767"/>
      <c r="I96" s="767"/>
      <c r="J96" s="767"/>
      <c r="K96" s="767"/>
      <c r="L96" s="767"/>
      <c r="M96" s="767"/>
      <c r="N96" s="767"/>
      <c r="O96" s="767"/>
      <c r="P96" s="767"/>
      <c r="Q96" s="767"/>
      <c r="R96" s="768"/>
      <c r="S96" s="767"/>
      <c r="T96" s="767"/>
      <c r="U96" s="767"/>
      <c r="V96" s="767"/>
      <c r="W96" s="767"/>
      <c r="X96" s="801"/>
    </row>
  </sheetData>
  <mergeCells count="171">
    <mergeCell ref="R48:S48"/>
    <mergeCell ref="T51:U51"/>
    <mergeCell ref="T48:U48"/>
    <mergeCell ref="T52:U52"/>
    <mergeCell ref="R52:S52"/>
    <mergeCell ref="V52:X52"/>
    <mergeCell ref="R50:S50"/>
    <mergeCell ref="T50:U50"/>
    <mergeCell ref="V50:X50"/>
    <mergeCell ref="R51:S51"/>
    <mergeCell ref="V51:X51"/>
    <mergeCell ref="R55:S55"/>
    <mergeCell ref="T55:U55"/>
    <mergeCell ref="V55:X55"/>
    <mergeCell ref="R56:S56"/>
    <mergeCell ref="T56:U56"/>
    <mergeCell ref="V56:X56"/>
    <mergeCell ref="R53:S53"/>
    <mergeCell ref="T53:U53"/>
    <mergeCell ref="V53:X53"/>
    <mergeCell ref="R88:X88"/>
    <mergeCell ref="R89:X89"/>
    <mergeCell ref="R94:X94"/>
    <mergeCell ref="R95:X95"/>
    <mergeCell ref="V75:X75"/>
    <mergeCell ref="A76:U76"/>
    <mergeCell ref="V76:X76"/>
    <mergeCell ref="A65:L65"/>
    <mergeCell ref="V65:X65"/>
    <mergeCell ref="A66:L66"/>
    <mergeCell ref="T67:U67"/>
    <mergeCell ref="V67:X67"/>
    <mergeCell ref="R68:S68"/>
    <mergeCell ref="T68:U68"/>
    <mergeCell ref="V68:X68"/>
    <mergeCell ref="R70:S70"/>
    <mergeCell ref="T70:U70"/>
    <mergeCell ref="V70:X70"/>
    <mergeCell ref="F82:L82"/>
    <mergeCell ref="R82:X82"/>
    <mergeCell ref="R83:X83"/>
    <mergeCell ref="R85:X85"/>
    <mergeCell ref="A87:P87"/>
    <mergeCell ref="F78:L78"/>
    <mergeCell ref="R78:X78"/>
    <mergeCell ref="F79:L79"/>
    <mergeCell ref="F80:L80"/>
    <mergeCell ref="F81:L81"/>
    <mergeCell ref="R86:X86"/>
    <mergeCell ref="R84:X84"/>
    <mergeCell ref="A58:O58"/>
    <mergeCell ref="P58:T59"/>
    <mergeCell ref="U58:X59"/>
    <mergeCell ref="V72:X72"/>
    <mergeCell ref="M72:P72"/>
    <mergeCell ref="M70:P70"/>
    <mergeCell ref="R71:S71"/>
    <mergeCell ref="T71:U71"/>
    <mergeCell ref="V71:X71"/>
    <mergeCell ref="M68:P68"/>
    <mergeCell ref="R79:X79"/>
    <mergeCell ref="R87:X87"/>
    <mergeCell ref="T39:U39"/>
    <mergeCell ref="V39:X39"/>
    <mergeCell ref="R40:S40"/>
    <mergeCell ref="T40:U40"/>
    <mergeCell ref="V40:X40"/>
    <mergeCell ref="V45:X45"/>
    <mergeCell ref="R46:S46"/>
    <mergeCell ref="T46:U46"/>
    <mergeCell ref="V46:X46"/>
    <mergeCell ref="R47:S47"/>
    <mergeCell ref="T47:U47"/>
    <mergeCell ref="V47:X47"/>
    <mergeCell ref="V48:X48"/>
    <mergeCell ref="R49:S49"/>
    <mergeCell ref="T49:U49"/>
    <mergeCell ref="V49:X49"/>
    <mergeCell ref="V43:X43"/>
    <mergeCell ref="R43:S43"/>
    <mergeCell ref="T43:U43"/>
    <mergeCell ref="R77:X77"/>
    <mergeCell ref="R54:S54"/>
    <mergeCell ref="T54:U54"/>
    <mergeCell ref="V54:X54"/>
    <mergeCell ref="R36:S36"/>
    <mergeCell ref="T36:U36"/>
    <mergeCell ref="V36:X36"/>
    <mergeCell ref="R37:S37"/>
    <mergeCell ref="T37:U37"/>
    <mergeCell ref="V37:X37"/>
    <mergeCell ref="R34:S34"/>
    <mergeCell ref="T34:U34"/>
    <mergeCell ref="V34:X34"/>
    <mergeCell ref="R35:S35"/>
    <mergeCell ref="T35:U35"/>
    <mergeCell ref="V35:X35"/>
    <mergeCell ref="R38:S38"/>
    <mergeCell ref="T38:U38"/>
    <mergeCell ref="V38:X38"/>
    <mergeCell ref="R41:S41"/>
    <mergeCell ref="T41:U41"/>
    <mergeCell ref="V41:X41"/>
    <mergeCell ref="R42:S42"/>
    <mergeCell ref="T42:U42"/>
    <mergeCell ref="V42:X42"/>
    <mergeCell ref="R39:S39"/>
    <mergeCell ref="R32:S32"/>
    <mergeCell ref="T32:U32"/>
    <mergeCell ref="V32:X32"/>
    <mergeCell ref="R33:S33"/>
    <mergeCell ref="T33:U33"/>
    <mergeCell ref="V33:X33"/>
    <mergeCell ref="A29:L29"/>
    <mergeCell ref="V29:X29"/>
    <mergeCell ref="A30:L30"/>
    <mergeCell ref="V30:X30"/>
    <mergeCell ref="R31:S31"/>
    <mergeCell ref="T31:U31"/>
    <mergeCell ref="V31:X31"/>
    <mergeCell ref="A27:L27"/>
    <mergeCell ref="V27:X27"/>
    <mergeCell ref="A28:L28"/>
    <mergeCell ref="V28:X28"/>
    <mergeCell ref="A25:L25"/>
    <mergeCell ref="M25:P25"/>
    <mergeCell ref="R25:S25"/>
    <mergeCell ref="T25:U25"/>
    <mergeCell ref="V25:X25"/>
    <mergeCell ref="A26:L26"/>
    <mergeCell ref="M26:P26"/>
    <mergeCell ref="V26:X26"/>
    <mergeCell ref="U19:X19"/>
    <mergeCell ref="A21:X21"/>
    <mergeCell ref="A22:X22"/>
    <mergeCell ref="A23:L23"/>
    <mergeCell ref="M23:P24"/>
    <mergeCell ref="Q23:U23"/>
    <mergeCell ref="V23:X23"/>
    <mergeCell ref="A24:L24"/>
    <mergeCell ref="R24:S24"/>
    <mergeCell ref="T24:U24"/>
    <mergeCell ref="V24:X24"/>
    <mergeCell ref="A1:O2"/>
    <mergeCell ref="W1:X1"/>
    <mergeCell ref="W2:X2"/>
    <mergeCell ref="A3:O4"/>
    <mergeCell ref="P3:P4"/>
    <mergeCell ref="Q3:Q4"/>
    <mergeCell ref="R3:R4"/>
    <mergeCell ref="S3:S4"/>
    <mergeCell ref="T3:T4"/>
    <mergeCell ref="W4:X4"/>
    <mergeCell ref="P1:P2"/>
    <mergeCell ref="Q1:Q2"/>
    <mergeCell ref="R1:R2"/>
    <mergeCell ref="S1:S2"/>
    <mergeCell ref="T1:T2"/>
    <mergeCell ref="U1:U2"/>
    <mergeCell ref="V1:V2"/>
    <mergeCell ref="A15:F15"/>
    <mergeCell ref="I15:T15"/>
    <mergeCell ref="U15:X15"/>
    <mergeCell ref="U16:X16"/>
    <mergeCell ref="V17:X17"/>
    <mergeCell ref="U18:X18"/>
    <mergeCell ref="U3:U4"/>
    <mergeCell ref="V3:V4"/>
    <mergeCell ref="A14:X14"/>
    <mergeCell ref="A5:V5"/>
    <mergeCell ref="A6:V6"/>
  </mergeCells>
  <pageMargins left="0.70866141732283472" right="0.70866141732283472" top="0.74803149606299213" bottom="0.74803149606299213" header="0.31496062992125984" footer="0.31496062992125984"/>
  <pageSetup scale="75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B66"/>
  <sheetViews>
    <sheetView topLeftCell="A52" workbookViewId="0">
      <selection activeCell="N64" sqref="N64"/>
    </sheetView>
  </sheetViews>
  <sheetFormatPr defaultRowHeight="15"/>
  <cols>
    <col min="1" max="1" width="2.42578125" customWidth="1"/>
    <col min="2" max="2" width="2.28515625" customWidth="1"/>
    <col min="3" max="3" width="2.5703125" customWidth="1"/>
    <col min="4" max="4" width="2" customWidth="1"/>
    <col min="5" max="5" width="2.7109375" customWidth="1"/>
    <col min="6" max="6" width="2" customWidth="1"/>
    <col min="7" max="7" width="1.85546875" customWidth="1"/>
    <col min="8" max="8" width="1.7109375" customWidth="1"/>
    <col min="9" max="9" width="1.5703125" customWidth="1"/>
    <col min="10" max="10" width="5.7109375" customWidth="1"/>
    <col min="11" max="11" width="3.5703125" customWidth="1"/>
    <col min="12" max="12" width="3.42578125" customWidth="1"/>
    <col min="15" max="15" width="6.140625" customWidth="1"/>
    <col min="16" max="16" width="8.140625" customWidth="1"/>
    <col min="17" max="17" width="6.7109375" customWidth="1"/>
    <col min="18" max="18" width="5.140625" customWidth="1"/>
    <col min="19" max="19" width="3.5703125" customWidth="1"/>
    <col min="20" max="20" width="5.7109375" customWidth="1"/>
    <col min="21" max="21" width="5.42578125" customWidth="1"/>
    <col min="22" max="22" width="5.140625" customWidth="1"/>
    <col min="23" max="23" width="4.5703125" customWidth="1"/>
    <col min="24" max="24" width="11.28515625" customWidth="1"/>
    <col min="26" max="26" width="14" bestFit="1" customWidth="1"/>
    <col min="28" max="28" width="16.42578125" customWidth="1"/>
  </cols>
  <sheetData>
    <row r="1" spans="1:24" ht="11.25" customHeight="1">
      <c r="A1" s="1386" t="s">
        <v>0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8"/>
      <c r="P1" s="1871">
        <v>3.02</v>
      </c>
      <c r="Q1" s="1872">
        <v>3.02</v>
      </c>
      <c r="R1" s="1873" t="s">
        <v>157</v>
      </c>
      <c r="S1" s="1873" t="s">
        <v>198</v>
      </c>
      <c r="T1" s="1872">
        <v>24</v>
      </c>
      <c r="U1" s="1872" t="s">
        <v>158</v>
      </c>
      <c r="V1" s="1872" t="s">
        <v>159</v>
      </c>
      <c r="W1" s="1161"/>
      <c r="X1" s="1453"/>
    </row>
    <row r="2" spans="1:24" ht="15.75" customHeight="1">
      <c r="A2" s="1389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1"/>
      <c r="P2" s="1866"/>
      <c r="Q2" s="1652"/>
      <c r="R2" s="1652"/>
      <c r="S2" s="1869"/>
      <c r="T2" s="1652"/>
      <c r="U2" s="1652"/>
      <c r="V2" s="1652"/>
      <c r="W2" s="1164" t="s">
        <v>1</v>
      </c>
      <c r="X2" s="1393"/>
    </row>
    <row r="3" spans="1:24" ht="15" customHeight="1">
      <c r="A3" s="1379" t="s">
        <v>2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1"/>
      <c r="P3" s="1866"/>
      <c r="Q3" s="1652"/>
      <c r="R3" s="1869"/>
      <c r="S3" s="1869"/>
      <c r="T3" s="1652"/>
      <c r="U3" s="1652"/>
      <c r="V3" s="1652"/>
      <c r="W3" s="871"/>
      <c r="X3" s="872"/>
    </row>
    <row r="4" spans="1:24" ht="14.25" customHeight="1">
      <c r="A4" s="1382"/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4"/>
      <c r="P4" s="1867"/>
      <c r="Q4" s="1868"/>
      <c r="R4" s="1868"/>
      <c r="S4" s="1870"/>
      <c r="T4" s="1868"/>
      <c r="U4" s="1868"/>
      <c r="V4" s="1868"/>
      <c r="W4" s="1164" t="s">
        <v>1040</v>
      </c>
      <c r="X4" s="1393"/>
    </row>
    <row r="5" spans="1:24">
      <c r="A5" s="1515" t="s">
        <v>717</v>
      </c>
      <c r="B5" s="1516"/>
      <c r="C5" s="1516"/>
      <c r="D5" s="1516"/>
      <c r="E5" s="1516"/>
      <c r="F5" s="1516"/>
      <c r="G5" s="1516"/>
      <c r="H5" s="1516"/>
      <c r="I5" s="1516"/>
      <c r="J5" s="1516"/>
      <c r="K5" s="1516"/>
      <c r="L5" s="1516"/>
      <c r="M5" s="1516"/>
      <c r="N5" s="1516"/>
      <c r="O5" s="1516"/>
      <c r="P5" s="1516"/>
      <c r="Q5" s="1516"/>
      <c r="R5" s="1516"/>
      <c r="S5" s="1516"/>
      <c r="T5" s="1516"/>
      <c r="U5" s="1516"/>
      <c r="V5" s="1517"/>
      <c r="W5" s="852"/>
      <c r="X5" s="853"/>
    </row>
    <row r="6" spans="1:24">
      <c r="A6" s="1518" t="s">
        <v>922</v>
      </c>
      <c r="B6" s="1519"/>
      <c r="C6" s="1519"/>
      <c r="D6" s="1519"/>
      <c r="E6" s="1519"/>
      <c r="F6" s="1519"/>
      <c r="G6" s="1519"/>
      <c r="H6" s="1519"/>
      <c r="I6" s="1519"/>
      <c r="J6" s="1519"/>
      <c r="K6" s="1519"/>
      <c r="L6" s="1519"/>
      <c r="M6" s="1519"/>
      <c r="N6" s="1519"/>
      <c r="O6" s="1519"/>
      <c r="P6" s="1519"/>
      <c r="Q6" s="1519"/>
      <c r="R6" s="1519"/>
      <c r="S6" s="1519"/>
      <c r="T6" s="1519"/>
      <c r="U6" s="1519"/>
      <c r="V6" s="1520"/>
      <c r="W6" s="850"/>
      <c r="X6" s="851"/>
    </row>
    <row r="7" spans="1:24">
      <c r="A7" s="840" t="s">
        <v>5</v>
      </c>
      <c r="B7" s="230"/>
      <c r="C7" s="230"/>
      <c r="D7" s="230"/>
      <c r="E7" s="230"/>
      <c r="F7" s="230"/>
      <c r="G7" s="230"/>
      <c r="H7" s="230"/>
      <c r="I7" s="230"/>
      <c r="J7" s="230"/>
      <c r="K7" s="603" t="s">
        <v>6</v>
      </c>
      <c r="L7" s="197" t="s">
        <v>559</v>
      </c>
      <c r="M7" s="197"/>
      <c r="N7" s="197"/>
      <c r="O7" s="197"/>
      <c r="P7" s="642" t="s">
        <v>8</v>
      </c>
      <c r="Q7" s="642"/>
      <c r="R7" s="642"/>
      <c r="S7" s="642"/>
      <c r="T7" s="642"/>
      <c r="U7" s="603"/>
      <c r="V7" s="603"/>
      <c r="W7" s="603"/>
      <c r="X7" s="604"/>
    </row>
    <row r="8" spans="1:24">
      <c r="A8" s="840" t="s">
        <v>9</v>
      </c>
      <c r="B8" s="230"/>
      <c r="C8" s="230"/>
      <c r="D8" s="230"/>
      <c r="E8" s="230"/>
      <c r="F8" s="230"/>
      <c r="G8" s="230"/>
      <c r="H8" s="230"/>
      <c r="I8" s="230"/>
      <c r="J8" s="230"/>
      <c r="K8" s="603" t="s">
        <v>6</v>
      </c>
      <c r="L8" s="199" t="s">
        <v>529</v>
      </c>
      <c r="M8" s="199"/>
      <c r="N8" s="197"/>
      <c r="O8" s="197"/>
      <c r="P8" s="199" t="s">
        <v>11</v>
      </c>
      <c r="Q8" s="199"/>
      <c r="R8" s="199"/>
      <c r="S8" s="199"/>
      <c r="T8" s="199"/>
      <c r="U8" s="603"/>
      <c r="V8" s="603"/>
      <c r="W8" s="603"/>
      <c r="X8" s="604"/>
    </row>
    <row r="9" spans="1:24">
      <c r="A9" s="840" t="s">
        <v>162</v>
      </c>
      <c r="B9" s="230"/>
      <c r="C9" s="230"/>
      <c r="D9" s="230"/>
      <c r="E9" s="230"/>
      <c r="F9" s="230"/>
      <c r="G9" s="230"/>
      <c r="H9" s="230"/>
      <c r="I9" s="230"/>
      <c r="J9" s="230"/>
      <c r="K9" s="603" t="s">
        <v>6</v>
      </c>
      <c r="L9" s="603" t="s">
        <v>610</v>
      </c>
      <c r="M9" s="603"/>
      <c r="N9" s="603"/>
      <c r="O9" s="603"/>
      <c r="P9" s="603" t="s">
        <v>93</v>
      </c>
      <c r="Q9" s="603"/>
      <c r="R9" s="603"/>
      <c r="S9" s="603"/>
      <c r="T9" s="603"/>
      <c r="U9" s="603"/>
      <c r="V9" s="603"/>
      <c r="W9" s="603"/>
      <c r="X9" s="604"/>
    </row>
    <row r="10" spans="1:24">
      <c r="A10" s="602" t="s">
        <v>58</v>
      </c>
      <c r="B10" s="603"/>
      <c r="C10" s="603"/>
      <c r="D10" s="603"/>
      <c r="E10" s="603"/>
      <c r="F10" s="603"/>
      <c r="G10" s="603"/>
      <c r="H10" s="603"/>
      <c r="I10" s="603"/>
      <c r="J10" s="603"/>
      <c r="K10" s="603" t="s">
        <v>6</v>
      </c>
      <c r="L10" s="603" t="s">
        <v>1024</v>
      </c>
      <c r="M10" s="603"/>
      <c r="N10" s="603"/>
      <c r="O10" s="603"/>
      <c r="P10" s="606" t="s">
        <v>389</v>
      </c>
      <c r="Q10" s="603"/>
      <c r="R10" s="603"/>
      <c r="S10" s="603"/>
      <c r="T10" s="603"/>
      <c r="U10" s="603"/>
      <c r="V10" s="603"/>
      <c r="W10" s="603"/>
      <c r="X10" s="604"/>
    </row>
    <row r="11" spans="1:24">
      <c r="A11" s="602" t="s">
        <v>165</v>
      </c>
      <c r="B11" s="603"/>
      <c r="C11" s="603"/>
      <c r="D11" s="603"/>
      <c r="E11" s="603"/>
      <c r="F11" s="603"/>
      <c r="G11" s="603"/>
      <c r="H11" s="603"/>
      <c r="I11" s="603"/>
      <c r="J11" s="603"/>
      <c r="K11" s="603" t="s">
        <v>6</v>
      </c>
      <c r="L11" s="603" t="s">
        <v>920</v>
      </c>
      <c r="M11" s="603"/>
      <c r="N11" s="603"/>
      <c r="O11" s="603"/>
      <c r="P11" s="603"/>
      <c r="Q11" s="603"/>
      <c r="R11" s="603"/>
      <c r="S11" s="603"/>
      <c r="T11" s="603"/>
      <c r="U11" s="603"/>
      <c r="V11" s="603"/>
      <c r="W11" s="603"/>
      <c r="X11" s="604"/>
    </row>
    <row r="12" spans="1:24">
      <c r="A12" s="1623" t="s">
        <v>1021</v>
      </c>
      <c r="B12" s="1632"/>
      <c r="C12" s="1632"/>
      <c r="D12" s="1632"/>
      <c r="E12" s="1632"/>
      <c r="F12" s="1632"/>
      <c r="G12" s="1632"/>
      <c r="H12" s="1632"/>
      <c r="I12" s="1632"/>
      <c r="J12" s="1632"/>
      <c r="K12" s="603" t="s">
        <v>6</v>
      </c>
      <c r="L12" s="603" t="s">
        <v>919</v>
      </c>
      <c r="M12" s="603"/>
      <c r="N12" s="603"/>
      <c r="O12" s="603"/>
      <c r="P12" s="603"/>
      <c r="Q12" s="606"/>
      <c r="R12" s="603"/>
      <c r="S12" s="603"/>
      <c r="T12" s="603"/>
      <c r="U12" s="603"/>
      <c r="V12" s="603"/>
      <c r="W12" s="603"/>
      <c r="X12" s="604"/>
    </row>
    <row r="13" spans="1:24">
      <c r="A13" s="602" t="s">
        <v>167</v>
      </c>
      <c r="B13" s="603"/>
      <c r="C13" s="603"/>
      <c r="D13" s="603"/>
      <c r="E13" s="603"/>
      <c r="F13" s="603"/>
      <c r="G13" s="603"/>
      <c r="H13" s="603"/>
      <c r="I13" s="603"/>
      <c r="J13" s="603"/>
      <c r="K13" s="603" t="s">
        <v>6</v>
      </c>
      <c r="L13" s="603" t="s">
        <v>68</v>
      </c>
      <c r="M13" s="603"/>
      <c r="N13" s="603"/>
      <c r="O13" s="603"/>
      <c r="P13" s="603"/>
      <c r="Q13" s="603"/>
      <c r="R13" s="603"/>
      <c r="S13" s="603"/>
      <c r="T13" s="603"/>
      <c r="U13" s="603"/>
      <c r="V13" s="603"/>
      <c r="W13" s="603"/>
      <c r="X13" s="604"/>
    </row>
    <row r="14" spans="1:24">
      <c r="A14" s="1418" t="s">
        <v>260</v>
      </c>
      <c r="B14" s="1400"/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0"/>
      <c r="U14" s="1400"/>
      <c r="V14" s="1400"/>
      <c r="W14" s="1400"/>
      <c r="X14" s="1405"/>
    </row>
    <row r="15" spans="1:24">
      <c r="A15" s="1418" t="s">
        <v>169</v>
      </c>
      <c r="B15" s="1400"/>
      <c r="C15" s="1400"/>
      <c r="D15" s="1400"/>
      <c r="E15" s="1400"/>
      <c r="F15" s="1400"/>
      <c r="G15" s="671"/>
      <c r="H15" s="671"/>
      <c r="I15" s="1399" t="s">
        <v>170</v>
      </c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3"/>
      <c r="U15" s="1399" t="s">
        <v>171</v>
      </c>
      <c r="V15" s="1400"/>
      <c r="W15" s="1400"/>
      <c r="X15" s="1405"/>
    </row>
    <row r="16" spans="1:24">
      <c r="A16" s="607" t="s">
        <v>172</v>
      </c>
      <c r="B16" s="608"/>
      <c r="C16" s="608"/>
      <c r="D16" s="608"/>
      <c r="E16" s="608"/>
      <c r="F16" s="608"/>
      <c r="G16" s="608"/>
      <c r="H16" s="608"/>
      <c r="I16" s="99" t="s">
        <v>390</v>
      </c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100"/>
      <c r="U16" s="1578">
        <v>1</v>
      </c>
      <c r="V16" s="1579"/>
      <c r="W16" s="1579"/>
      <c r="X16" s="1580"/>
    </row>
    <row r="17" spans="1:26">
      <c r="A17" s="602" t="s">
        <v>174</v>
      </c>
      <c r="B17" s="603"/>
      <c r="C17" s="603"/>
      <c r="D17" s="603"/>
      <c r="E17" s="603"/>
      <c r="F17" s="603"/>
      <c r="G17" s="603"/>
      <c r="H17" s="603"/>
      <c r="I17" s="93" t="s">
        <v>175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101"/>
      <c r="U17" s="102" t="s">
        <v>154</v>
      </c>
      <c r="V17" s="1530">
        <f>V29</f>
        <v>52090000</v>
      </c>
      <c r="W17" s="1530"/>
      <c r="X17" s="1531"/>
    </row>
    <row r="18" spans="1:26">
      <c r="A18" s="602" t="s">
        <v>176</v>
      </c>
      <c r="B18" s="603"/>
      <c r="C18" s="603"/>
      <c r="D18" s="603"/>
      <c r="E18" s="603"/>
      <c r="F18" s="603"/>
      <c r="G18" s="603"/>
      <c r="H18" s="603"/>
      <c r="I18" s="93" t="s">
        <v>391</v>
      </c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101"/>
      <c r="U18" s="1456" t="s">
        <v>178</v>
      </c>
      <c r="V18" s="1359"/>
      <c r="W18" s="1359"/>
      <c r="X18" s="1360"/>
    </row>
    <row r="19" spans="1:26">
      <c r="A19" s="612" t="s">
        <v>179</v>
      </c>
      <c r="B19" s="601"/>
      <c r="C19" s="601"/>
      <c r="D19" s="601"/>
      <c r="E19" s="601"/>
      <c r="F19" s="601"/>
      <c r="G19" s="601"/>
      <c r="H19" s="601"/>
      <c r="I19" s="105" t="s">
        <v>392</v>
      </c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6"/>
      <c r="U19" s="1455" t="s">
        <v>181</v>
      </c>
      <c r="V19" s="1428"/>
      <c r="W19" s="1428"/>
      <c r="X19" s="1582"/>
    </row>
    <row r="20" spans="1:26">
      <c r="A20" s="602" t="s">
        <v>182</v>
      </c>
      <c r="B20" s="603"/>
      <c r="C20" s="603"/>
      <c r="D20" s="603"/>
      <c r="E20" s="603"/>
      <c r="F20" s="603"/>
      <c r="G20" s="603"/>
      <c r="H20" s="603"/>
      <c r="I20" s="603"/>
      <c r="J20" s="603"/>
      <c r="K20" s="603"/>
      <c r="L20" s="603" t="s">
        <v>6</v>
      </c>
      <c r="M20" s="603" t="s">
        <v>920</v>
      </c>
      <c r="N20" s="603"/>
      <c r="O20" s="603"/>
      <c r="P20" s="603"/>
      <c r="Q20" s="603"/>
      <c r="R20" s="603"/>
      <c r="S20" s="603"/>
      <c r="T20" s="603"/>
      <c r="U20" s="603"/>
      <c r="V20" s="603"/>
      <c r="W20" s="603"/>
      <c r="X20" s="604"/>
    </row>
    <row r="21" spans="1:26">
      <c r="A21" s="1321" t="s">
        <v>718</v>
      </c>
      <c r="B21" s="1322"/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3"/>
    </row>
    <row r="22" spans="1:26">
      <c r="A22" s="1164" t="s">
        <v>719</v>
      </c>
      <c r="B22" s="1165"/>
      <c r="C22" s="1165"/>
      <c r="D22" s="1165"/>
      <c r="E22" s="1165"/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  <c r="R22" s="1165"/>
      <c r="S22" s="1165"/>
      <c r="T22" s="1165"/>
      <c r="U22" s="1165"/>
      <c r="V22" s="1165"/>
      <c r="W22" s="1165"/>
      <c r="X22" s="1393"/>
    </row>
    <row r="23" spans="1:26">
      <c r="A23" s="1321" t="s">
        <v>13</v>
      </c>
      <c r="B23" s="1322"/>
      <c r="C23" s="1322"/>
      <c r="D23" s="1322"/>
      <c r="E23" s="1322"/>
      <c r="F23" s="1322"/>
      <c r="G23" s="1322"/>
      <c r="H23" s="1322"/>
      <c r="I23" s="1322"/>
      <c r="J23" s="1322"/>
      <c r="K23" s="1322"/>
      <c r="L23" s="1394"/>
      <c r="M23" s="1395" t="s">
        <v>14</v>
      </c>
      <c r="N23" s="1396"/>
      <c r="O23" s="1396"/>
      <c r="P23" s="1397"/>
      <c r="Q23" s="1401" t="s">
        <v>121</v>
      </c>
      <c r="R23" s="1322"/>
      <c r="S23" s="1322"/>
      <c r="T23" s="1322"/>
      <c r="U23" s="1322"/>
      <c r="V23" s="1401" t="s">
        <v>15</v>
      </c>
      <c r="W23" s="1322"/>
      <c r="X23" s="1323"/>
    </row>
    <row r="24" spans="1:26">
      <c r="A24" s="1164" t="s">
        <v>16</v>
      </c>
      <c r="B24" s="1165"/>
      <c r="C24" s="1165"/>
      <c r="D24" s="1165"/>
      <c r="E24" s="1165"/>
      <c r="F24" s="1165"/>
      <c r="G24" s="1165"/>
      <c r="H24" s="1165"/>
      <c r="I24" s="1165"/>
      <c r="J24" s="1165"/>
      <c r="K24" s="1165"/>
      <c r="L24" s="1166"/>
      <c r="M24" s="1398"/>
      <c r="N24" s="1173"/>
      <c r="O24" s="1173"/>
      <c r="P24" s="1174"/>
      <c r="Q24" s="90" t="s">
        <v>122</v>
      </c>
      <c r="R24" s="1399" t="s">
        <v>123</v>
      </c>
      <c r="S24" s="1403"/>
      <c r="T24" s="1399" t="s">
        <v>124</v>
      </c>
      <c r="U24" s="1403"/>
      <c r="V24" s="1436" t="s">
        <v>17</v>
      </c>
      <c r="W24" s="1165"/>
      <c r="X24" s="1393"/>
    </row>
    <row r="25" spans="1:26">
      <c r="A25" s="1418">
        <v>1</v>
      </c>
      <c r="B25" s="1400"/>
      <c r="C25" s="1400"/>
      <c r="D25" s="1400"/>
      <c r="E25" s="1400"/>
      <c r="F25" s="1400"/>
      <c r="G25" s="1400"/>
      <c r="H25" s="1400"/>
      <c r="I25" s="1400"/>
      <c r="J25" s="1400"/>
      <c r="K25" s="1400"/>
      <c r="L25" s="1403"/>
      <c r="M25" s="1399">
        <v>2</v>
      </c>
      <c r="N25" s="1400"/>
      <c r="O25" s="1400"/>
      <c r="P25" s="1403"/>
      <c r="Q25" s="90">
        <v>3</v>
      </c>
      <c r="R25" s="1399">
        <v>4</v>
      </c>
      <c r="S25" s="1403"/>
      <c r="T25" s="1399">
        <v>5</v>
      </c>
      <c r="U25" s="1403"/>
      <c r="V25" s="1399">
        <v>6</v>
      </c>
      <c r="W25" s="1400"/>
      <c r="X25" s="1405"/>
    </row>
    <row r="26" spans="1:26">
      <c r="A26" s="1874" t="s">
        <v>749</v>
      </c>
      <c r="B26" s="1549"/>
      <c r="C26" s="1549"/>
      <c r="D26" s="1549"/>
      <c r="E26" s="1549"/>
      <c r="F26" s="1549"/>
      <c r="G26" s="1549"/>
      <c r="H26" s="1549"/>
      <c r="I26" s="1549"/>
      <c r="J26" s="1549"/>
      <c r="K26" s="1549"/>
      <c r="L26" s="1550"/>
      <c r="M26" s="1647" t="s">
        <v>551</v>
      </c>
      <c r="N26" s="1647"/>
      <c r="O26" s="1647"/>
      <c r="P26" s="1647"/>
      <c r="Q26" s="673"/>
      <c r="R26" s="673"/>
      <c r="S26" s="665"/>
      <c r="T26" s="664"/>
      <c r="U26" s="664"/>
      <c r="V26" s="1581">
        <f>V27</f>
        <v>52090000</v>
      </c>
      <c r="W26" s="1322"/>
      <c r="X26" s="1323"/>
    </row>
    <row r="27" spans="1:26">
      <c r="A27" s="1354" t="s">
        <v>750</v>
      </c>
      <c r="B27" s="1355"/>
      <c r="C27" s="1355"/>
      <c r="D27" s="1355"/>
      <c r="E27" s="1355"/>
      <c r="F27" s="1355"/>
      <c r="G27" s="1355"/>
      <c r="H27" s="1355"/>
      <c r="I27" s="1355"/>
      <c r="J27" s="1355"/>
      <c r="K27" s="1355"/>
      <c r="L27" s="1356"/>
      <c r="M27" s="84" t="s">
        <v>23</v>
      </c>
      <c r="N27" s="84"/>
      <c r="O27" s="84"/>
      <c r="P27" s="85"/>
      <c r="Q27" s="83"/>
      <c r="R27" s="83"/>
      <c r="S27" s="85"/>
      <c r="T27" s="84"/>
      <c r="U27" s="84"/>
      <c r="V27" s="1468">
        <f>V28</f>
        <v>52090000</v>
      </c>
      <c r="W27" s="1424"/>
      <c r="X27" s="1425"/>
    </row>
    <row r="28" spans="1:26">
      <c r="A28" s="1354" t="s">
        <v>611</v>
      </c>
      <c r="B28" s="1355"/>
      <c r="C28" s="1355"/>
      <c r="D28" s="1355"/>
      <c r="E28" s="1355"/>
      <c r="F28" s="1355"/>
      <c r="G28" s="1355"/>
      <c r="H28" s="1355"/>
      <c r="I28" s="1355"/>
      <c r="J28" s="1355"/>
      <c r="K28" s="1355"/>
      <c r="L28" s="1356"/>
      <c r="M28" s="84" t="s">
        <v>24</v>
      </c>
      <c r="N28" s="84"/>
      <c r="O28" s="84"/>
      <c r="P28" s="85"/>
      <c r="Q28" s="83"/>
      <c r="R28" s="83"/>
      <c r="S28" s="85"/>
      <c r="T28" s="84"/>
      <c r="U28" s="84"/>
      <c r="V28" s="1468">
        <f>V29</f>
        <v>52090000</v>
      </c>
      <c r="W28" s="1424"/>
      <c r="X28" s="1425"/>
    </row>
    <row r="29" spans="1:26" ht="26.25" customHeight="1">
      <c r="A29" s="1354" t="s">
        <v>612</v>
      </c>
      <c r="B29" s="1355"/>
      <c r="C29" s="1355"/>
      <c r="D29" s="1355"/>
      <c r="E29" s="1355"/>
      <c r="F29" s="1355"/>
      <c r="G29" s="1355"/>
      <c r="H29" s="1355"/>
      <c r="I29" s="1355"/>
      <c r="J29" s="1355"/>
      <c r="K29" s="1355"/>
      <c r="L29" s="1356"/>
      <c r="M29" s="1875" t="s">
        <v>393</v>
      </c>
      <c r="N29" s="1876"/>
      <c r="O29" s="1876"/>
      <c r="P29" s="1877"/>
      <c r="Q29" s="83"/>
      <c r="R29" s="83"/>
      <c r="S29" s="85"/>
      <c r="T29" s="84"/>
      <c r="U29" s="84"/>
      <c r="V29" s="1468">
        <f>V30+V34+V38+V43</f>
        <v>52090000</v>
      </c>
      <c r="W29" s="1424"/>
      <c r="X29" s="1425"/>
      <c r="Z29" s="79">
        <f>59940000-V29</f>
        <v>7850000</v>
      </c>
    </row>
    <row r="30" spans="1:26">
      <c r="A30" s="1354" t="s">
        <v>613</v>
      </c>
      <c r="B30" s="1355"/>
      <c r="C30" s="1355"/>
      <c r="D30" s="1355"/>
      <c r="E30" s="1355"/>
      <c r="F30" s="1355"/>
      <c r="G30" s="1355"/>
      <c r="H30" s="1355"/>
      <c r="I30" s="1355"/>
      <c r="J30" s="1355"/>
      <c r="K30" s="1355"/>
      <c r="L30" s="1356"/>
      <c r="M30" s="603" t="s">
        <v>394</v>
      </c>
      <c r="N30" s="603"/>
      <c r="O30" s="603"/>
      <c r="P30" s="610"/>
      <c r="Q30" s="614"/>
      <c r="R30" s="614"/>
      <c r="S30" s="610"/>
      <c r="T30" s="603"/>
      <c r="U30" s="603"/>
      <c r="V30" s="1610">
        <f>V31+V32+V33</f>
        <v>4740000</v>
      </c>
      <c r="W30" s="1608"/>
      <c r="X30" s="1611"/>
    </row>
    <row r="31" spans="1:26">
      <c r="A31" s="602"/>
      <c r="B31" s="603"/>
      <c r="C31" s="603"/>
      <c r="D31" s="603"/>
      <c r="E31" s="603"/>
      <c r="F31" s="603"/>
      <c r="G31" s="603"/>
      <c r="H31" s="603"/>
      <c r="I31" s="603"/>
      <c r="J31" s="603"/>
      <c r="K31" s="603"/>
      <c r="L31" s="610"/>
      <c r="M31" s="620" t="s">
        <v>395</v>
      </c>
      <c r="N31" s="603"/>
      <c r="O31" s="603"/>
      <c r="P31" s="610"/>
      <c r="Q31" s="683">
        <v>4</v>
      </c>
      <c r="R31" s="1456" t="s">
        <v>396</v>
      </c>
      <c r="S31" s="1646"/>
      <c r="T31" s="1883">
        <v>725000</v>
      </c>
      <c r="U31" s="1884"/>
      <c r="V31" s="1610">
        <f>T31*Q31</f>
        <v>2900000</v>
      </c>
      <c r="W31" s="1608"/>
      <c r="X31" s="1611"/>
      <c r="Z31" s="79"/>
    </row>
    <row r="32" spans="1:26">
      <c r="A32" s="602"/>
      <c r="B32" s="603"/>
      <c r="C32" s="603"/>
      <c r="D32" s="603"/>
      <c r="E32" s="603"/>
      <c r="F32" s="603"/>
      <c r="G32" s="603"/>
      <c r="H32" s="603"/>
      <c r="I32" s="603"/>
      <c r="J32" s="603"/>
      <c r="K32" s="603"/>
      <c r="L32" s="610"/>
      <c r="M32" s="620" t="s">
        <v>397</v>
      </c>
      <c r="N32" s="603"/>
      <c r="O32" s="603"/>
      <c r="P32" s="610"/>
      <c r="Q32" s="683">
        <v>8</v>
      </c>
      <c r="R32" s="1456" t="s">
        <v>396</v>
      </c>
      <c r="S32" s="1646"/>
      <c r="T32" s="1883">
        <v>230000</v>
      </c>
      <c r="U32" s="1884"/>
      <c r="V32" s="1610">
        <f>T32*Q32</f>
        <v>1840000</v>
      </c>
      <c r="W32" s="1608"/>
      <c r="X32" s="1611"/>
      <c r="Z32" s="79"/>
    </row>
    <row r="33" spans="1:28">
      <c r="A33" s="602"/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10"/>
      <c r="M33" s="620"/>
      <c r="N33" s="603"/>
      <c r="O33" s="603"/>
      <c r="P33" s="610"/>
      <c r="Q33" s="683"/>
      <c r="R33" s="672"/>
      <c r="S33" s="684"/>
      <c r="T33" s="692"/>
      <c r="U33" s="693"/>
      <c r="V33" s="1610"/>
      <c r="W33" s="1608"/>
      <c r="X33" s="1611"/>
      <c r="Z33" s="79"/>
    </row>
    <row r="34" spans="1:28">
      <c r="A34" s="1354" t="s">
        <v>614</v>
      </c>
      <c r="B34" s="1355"/>
      <c r="C34" s="1355"/>
      <c r="D34" s="1355"/>
      <c r="E34" s="1355"/>
      <c r="F34" s="1355"/>
      <c r="G34" s="1355"/>
      <c r="H34" s="1355"/>
      <c r="I34" s="1355"/>
      <c r="J34" s="1355"/>
      <c r="K34" s="1355"/>
      <c r="L34" s="1356"/>
      <c r="M34" s="603" t="s">
        <v>398</v>
      </c>
      <c r="N34" s="603"/>
      <c r="O34" s="603"/>
      <c r="P34" s="610"/>
      <c r="Q34" s="614"/>
      <c r="R34" s="1631"/>
      <c r="S34" s="1646"/>
      <c r="T34" s="1599"/>
      <c r="U34" s="1609"/>
      <c r="V34" s="1880">
        <f>V35+V36</f>
        <v>15000000</v>
      </c>
      <c r="W34" s="1881"/>
      <c r="X34" s="1882"/>
      <c r="Z34" s="79"/>
    </row>
    <row r="35" spans="1:28">
      <c r="A35" s="602"/>
      <c r="B35" s="623"/>
      <c r="C35" s="606"/>
      <c r="D35" s="623"/>
      <c r="E35" s="623"/>
      <c r="F35" s="623"/>
      <c r="G35" s="623"/>
      <c r="H35" s="623"/>
      <c r="I35" s="606"/>
      <c r="J35" s="606"/>
      <c r="K35" s="622"/>
      <c r="L35" s="624"/>
      <c r="M35" s="620" t="s">
        <v>399</v>
      </c>
      <c r="N35" s="603"/>
      <c r="O35" s="603"/>
      <c r="P35" s="610"/>
      <c r="Q35" s="683">
        <v>4</v>
      </c>
      <c r="R35" s="1456" t="s">
        <v>396</v>
      </c>
      <c r="S35" s="1646"/>
      <c r="T35" s="1599">
        <v>3000000</v>
      </c>
      <c r="U35" s="1609"/>
      <c r="V35" s="1610">
        <f>Q35*T35</f>
        <v>12000000</v>
      </c>
      <c r="W35" s="1608"/>
      <c r="X35" s="1611"/>
    </row>
    <row r="36" spans="1:28">
      <c r="A36" s="602"/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10"/>
      <c r="M36" s="620" t="s">
        <v>400</v>
      </c>
      <c r="N36" s="603"/>
      <c r="O36" s="603"/>
      <c r="P36" s="610"/>
      <c r="Q36" s="683">
        <v>8</v>
      </c>
      <c r="R36" s="1456" t="s">
        <v>396</v>
      </c>
      <c r="S36" s="1646"/>
      <c r="T36" s="1878">
        <v>375000</v>
      </c>
      <c r="U36" s="1879"/>
      <c r="V36" s="1610">
        <f>T36*Q36</f>
        <v>3000000</v>
      </c>
      <c r="W36" s="1608"/>
      <c r="X36" s="1611"/>
    </row>
    <row r="37" spans="1:28">
      <c r="A37" s="602"/>
      <c r="B37" s="603"/>
      <c r="C37" s="603"/>
      <c r="D37" s="603"/>
      <c r="E37" s="603"/>
      <c r="F37" s="603"/>
      <c r="G37" s="603"/>
      <c r="H37" s="603"/>
      <c r="I37" s="603"/>
      <c r="J37" s="603"/>
      <c r="K37" s="603"/>
      <c r="L37" s="610"/>
      <c r="M37" s="620"/>
      <c r="N37" s="603"/>
      <c r="O37" s="603"/>
      <c r="P37" s="610"/>
      <c r="Q37" s="614"/>
      <c r="R37" s="1631"/>
      <c r="S37" s="1646"/>
      <c r="T37" s="1599"/>
      <c r="U37" s="1609"/>
      <c r="V37" s="1610"/>
      <c r="W37" s="1608"/>
      <c r="X37" s="1611"/>
    </row>
    <row r="38" spans="1:28">
      <c r="A38" s="1354" t="s">
        <v>615</v>
      </c>
      <c r="B38" s="1355"/>
      <c r="C38" s="1355"/>
      <c r="D38" s="1355"/>
      <c r="E38" s="1355"/>
      <c r="F38" s="1355"/>
      <c r="G38" s="1355"/>
      <c r="H38" s="1355"/>
      <c r="I38" s="1355"/>
      <c r="J38" s="1355"/>
      <c r="K38" s="1355"/>
      <c r="L38" s="1356"/>
      <c r="M38" s="603" t="s">
        <v>401</v>
      </c>
      <c r="N38" s="603"/>
      <c r="O38" s="603"/>
      <c r="P38" s="610"/>
      <c r="Q38" s="614"/>
      <c r="R38" s="614"/>
      <c r="S38" s="610"/>
      <c r="T38" s="603"/>
      <c r="U38" s="603"/>
      <c r="V38" s="1880">
        <f>V40+V41</f>
        <v>24650000</v>
      </c>
      <c r="W38" s="1881"/>
      <c r="X38" s="1882"/>
    </row>
    <row r="39" spans="1:28">
      <c r="A39" s="602"/>
      <c r="B39" s="622"/>
      <c r="C39" s="603"/>
      <c r="D39" s="622"/>
      <c r="E39" s="622"/>
      <c r="F39" s="622"/>
      <c r="G39" s="623"/>
      <c r="H39" s="622"/>
      <c r="I39" s="603"/>
      <c r="J39" s="603"/>
      <c r="K39" s="622"/>
      <c r="L39" s="624"/>
      <c r="M39" s="614" t="s">
        <v>402</v>
      </c>
      <c r="N39" s="603"/>
      <c r="O39" s="603"/>
      <c r="P39" s="610"/>
      <c r="Q39" s="614"/>
      <c r="R39" s="614"/>
      <c r="S39" s="610"/>
      <c r="T39" s="603"/>
      <c r="U39" s="603"/>
      <c r="V39" s="680"/>
      <c r="W39" s="681"/>
      <c r="X39" s="682"/>
    </row>
    <row r="40" spans="1:28">
      <c r="A40" s="602"/>
      <c r="B40" s="603"/>
      <c r="C40" s="603"/>
      <c r="D40" s="603"/>
      <c r="E40" s="603"/>
      <c r="F40" s="603"/>
      <c r="G40" s="603"/>
      <c r="H40" s="603"/>
      <c r="I40" s="603"/>
      <c r="J40" s="603"/>
      <c r="K40" s="603"/>
      <c r="L40" s="610"/>
      <c r="M40" s="92" t="s">
        <v>1025</v>
      </c>
      <c r="N40" s="603"/>
      <c r="O40" s="603"/>
      <c r="P40" s="610"/>
      <c r="Q40" s="683">
        <v>1</v>
      </c>
      <c r="R40" s="1456" t="s">
        <v>422</v>
      </c>
      <c r="S40" s="1646"/>
      <c r="T40" s="1883">
        <v>21000000</v>
      </c>
      <c r="U40" s="1884"/>
      <c r="V40" s="1610">
        <f>T40</f>
        <v>21000000</v>
      </c>
      <c r="W40" s="1608"/>
      <c r="X40" s="1611"/>
      <c r="AB40" s="376"/>
    </row>
    <row r="41" spans="1:28">
      <c r="A41" s="602"/>
      <c r="B41" s="603"/>
      <c r="C41" s="603"/>
      <c r="D41" s="603"/>
      <c r="E41" s="603"/>
      <c r="F41" s="603"/>
      <c r="G41" s="603"/>
      <c r="H41" s="603"/>
      <c r="I41" s="603"/>
      <c r="J41" s="603"/>
      <c r="K41" s="603"/>
      <c r="L41" s="610"/>
      <c r="M41" s="620" t="s">
        <v>1026</v>
      </c>
      <c r="N41" s="603"/>
      <c r="O41" s="603"/>
      <c r="P41" s="610"/>
      <c r="Q41" s="841">
        <v>50</v>
      </c>
      <c r="R41" s="1456" t="s">
        <v>1027</v>
      </c>
      <c r="S41" s="1646"/>
      <c r="T41" s="1883">
        <v>73000</v>
      </c>
      <c r="U41" s="1884"/>
      <c r="V41" s="1610">
        <f>Q41*T41</f>
        <v>3650000</v>
      </c>
      <c r="W41" s="1608"/>
      <c r="X41" s="1611"/>
    </row>
    <row r="42" spans="1:28">
      <c r="A42" s="602"/>
      <c r="B42" s="603"/>
      <c r="C42" s="603"/>
      <c r="D42" s="603"/>
      <c r="E42" s="603"/>
      <c r="F42" s="603"/>
      <c r="G42" s="603"/>
      <c r="H42" s="603"/>
      <c r="I42" s="603"/>
      <c r="J42" s="603"/>
      <c r="K42" s="603"/>
      <c r="L42" s="610"/>
      <c r="M42" s="620"/>
      <c r="N42" s="603"/>
      <c r="O42" s="603"/>
      <c r="P42" s="610"/>
      <c r="Q42" s="614"/>
      <c r="R42" s="614"/>
      <c r="S42" s="610"/>
      <c r="T42" s="603"/>
      <c r="U42" s="603"/>
      <c r="V42" s="694"/>
      <c r="W42" s="695"/>
      <c r="X42" s="696"/>
    </row>
    <row r="43" spans="1:28">
      <c r="A43" s="1354" t="s">
        <v>616</v>
      </c>
      <c r="B43" s="1355"/>
      <c r="C43" s="1355"/>
      <c r="D43" s="1355"/>
      <c r="E43" s="1355"/>
      <c r="F43" s="1355"/>
      <c r="G43" s="1355"/>
      <c r="H43" s="1355"/>
      <c r="I43" s="1355"/>
      <c r="J43" s="1355"/>
      <c r="K43" s="1355"/>
      <c r="L43" s="1356"/>
      <c r="M43" s="620" t="s">
        <v>403</v>
      </c>
      <c r="N43" s="603"/>
      <c r="O43" s="603"/>
      <c r="P43" s="610"/>
      <c r="Q43" s="614"/>
      <c r="R43" s="614"/>
      <c r="S43" s="610"/>
      <c r="T43" s="603"/>
      <c r="U43" s="603"/>
      <c r="V43" s="1880">
        <f>V44+V45</f>
        <v>7700000</v>
      </c>
      <c r="W43" s="1881"/>
      <c r="X43" s="1882"/>
    </row>
    <row r="44" spans="1:28">
      <c r="A44" s="143"/>
      <c r="B44" s="144"/>
      <c r="C44" s="84"/>
      <c r="D44" s="144"/>
      <c r="E44" s="144"/>
      <c r="F44" s="144"/>
      <c r="G44" s="144"/>
      <c r="H44" s="144"/>
      <c r="I44" s="84"/>
      <c r="J44" s="84"/>
      <c r="K44" s="603"/>
      <c r="L44" s="610"/>
      <c r="M44" s="92" t="s">
        <v>404</v>
      </c>
      <c r="N44" s="603"/>
      <c r="O44" s="603"/>
      <c r="P44" s="610"/>
      <c r="Q44" s="683">
        <v>8</v>
      </c>
      <c r="R44" s="1456" t="s">
        <v>396</v>
      </c>
      <c r="S44" s="1646"/>
      <c r="T44" s="1599">
        <v>300000</v>
      </c>
      <c r="U44" s="1609"/>
      <c r="V44" s="1610">
        <f>Q44*T44</f>
        <v>2400000</v>
      </c>
      <c r="W44" s="1608"/>
      <c r="X44" s="1611"/>
    </row>
    <row r="45" spans="1:28">
      <c r="A45" s="143"/>
      <c r="B45" s="144"/>
      <c r="C45" s="84"/>
      <c r="D45" s="144"/>
      <c r="E45" s="144"/>
      <c r="F45" s="144"/>
      <c r="G45" s="144"/>
      <c r="H45" s="144"/>
      <c r="I45" s="84"/>
      <c r="J45" s="84"/>
      <c r="K45" s="144"/>
      <c r="L45" s="610"/>
      <c r="M45" s="92" t="s">
        <v>405</v>
      </c>
      <c r="N45" s="603"/>
      <c r="O45" s="603"/>
      <c r="P45" s="610"/>
      <c r="Q45" s="683">
        <v>4</v>
      </c>
      <c r="R45" s="1456" t="s">
        <v>396</v>
      </c>
      <c r="S45" s="1646"/>
      <c r="T45" s="1599">
        <v>1325000</v>
      </c>
      <c r="U45" s="1609"/>
      <c r="V45" s="1610">
        <f>Q45*T45</f>
        <v>5300000</v>
      </c>
      <c r="W45" s="1608"/>
      <c r="X45" s="1611"/>
      <c r="Z45" s="79">
        <f>7700000-V43</f>
        <v>0</v>
      </c>
    </row>
    <row r="46" spans="1:28">
      <c r="A46" s="46"/>
      <c r="B46" s="67"/>
      <c r="C46" s="66"/>
      <c r="D46" s="67"/>
      <c r="E46" s="67"/>
      <c r="F46" s="67"/>
      <c r="G46" s="67"/>
      <c r="H46" s="67"/>
      <c r="I46" s="66"/>
      <c r="J46" s="66"/>
      <c r="K46" s="622"/>
      <c r="L46" s="624"/>
      <c r="M46" s="93"/>
      <c r="N46" s="603"/>
      <c r="O46" s="603"/>
      <c r="P46" s="610"/>
      <c r="Q46" s="614"/>
      <c r="R46" s="614"/>
      <c r="S46" s="610"/>
      <c r="T46" s="1883"/>
      <c r="U46" s="1884"/>
      <c r="V46" s="1885"/>
      <c r="W46" s="1886"/>
      <c r="X46" s="1887"/>
    </row>
    <row r="47" spans="1:28">
      <c r="A47" s="602"/>
      <c r="B47" s="603"/>
      <c r="C47" s="603"/>
      <c r="D47" s="603"/>
      <c r="E47" s="603"/>
      <c r="F47" s="603"/>
      <c r="G47" s="603"/>
      <c r="H47" s="603"/>
      <c r="I47" s="603"/>
      <c r="J47" s="603"/>
      <c r="K47" s="603"/>
      <c r="L47" s="610"/>
      <c r="M47" s="614"/>
      <c r="N47" s="603"/>
      <c r="O47" s="603"/>
      <c r="P47" s="610"/>
      <c r="Q47" s="614"/>
      <c r="R47" s="614"/>
      <c r="S47" s="610"/>
      <c r="T47" s="603"/>
      <c r="U47" s="603"/>
      <c r="V47" s="694"/>
      <c r="W47" s="695"/>
      <c r="X47" s="696"/>
      <c r="Z47" s="79">
        <f>Z45/4</f>
        <v>0</v>
      </c>
      <c r="AB47" s="79"/>
    </row>
    <row r="48" spans="1:28">
      <c r="A48" s="1636" t="s">
        <v>110</v>
      </c>
      <c r="B48" s="1637"/>
      <c r="C48" s="1637"/>
      <c r="D48" s="1637"/>
      <c r="E48" s="1637"/>
      <c r="F48" s="1637"/>
      <c r="G48" s="1637"/>
      <c r="H48" s="1637"/>
      <c r="I48" s="1637"/>
      <c r="J48" s="1637"/>
      <c r="K48" s="1637"/>
      <c r="L48" s="1637"/>
      <c r="M48" s="1637"/>
      <c r="N48" s="1637"/>
      <c r="O48" s="1637"/>
      <c r="P48" s="1637"/>
      <c r="Q48" s="1637"/>
      <c r="R48" s="1637"/>
      <c r="S48" s="1637"/>
      <c r="T48" s="1637"/>
      <c r="U48" s="1638"/>
      <c r="V48" s="1888">
        <f>V30+V34+V38+V43</f>
        <v>52090000</v>
      </c>
      <c r="W48" s="1889"/>
      <c r="X48" s="1890"/>
      <c r="AB48" s="79"/>
    </row>
    <row r="49" spans="1:28" ht="19.5" customHeight="1" thickBot="1">
      <c r="A49" s="843" t="s">
        <v>1028</v>
      </c>
      <c r="B49" s="842"/>
      <c r="C49" s="842"/>
      <c r="D49" s="842"/>
      <c r="E49" s="842"/>
      <c r="F49" s="842"/>
      <c r="G49" s="842"/>
      <c r="H49" s="842"/>
      <c r="I49" s="842"/>
      <c r="J49" s="842"/>
      <c r="K49" s="842"/>
      <c r="L49" s="842"/>
      <c r="M49" s="842"/>
      <c r="N49" s="842"/>
      <c r="O49" s="842"/>
      <c r="P49" s="842"/>
      <c r="Q49" s="842"/>
      <c r="R49" s="1891"/>
      <c r="S49" s="1891"/>
      <c r="T49" s="1891"/>
      <c r="U49" s="1891"/>
      <c r="V49" s="1891"/>
      <c r="W49" s="1891"/>
      <c r="X49" s="1892"/>
    </row>
    <row r="50" spans="1:28">
      <c r="A50" s="602" t="s">
        <v>106</v>
      </c>
      <c r="B50" s="603"/>
      <c r="C50" s="603"/>
      <c r="D50" s="603"/>
      <c r="E50" s="603" t="s">
        <v>6</v>
      </c>
      <c r="F50" s="1893">
        <v>13022500</v>
      </c>
      <c r="G50" s="1893"/>
      <c r="H50" s="1893"/>
      <c r="I50" s="1893"/>
      <c r="J50" s="1893"/>
      <c r="K50" s="1893"/>
      <c r="L50" s="1893"/>
      <c r="M50" s="603"/>
      <c r="N50" s="603"/>
      <c r="O50" s="603"/>
      <c r="P50" s="603"/>
      <c r="Q50" s="603"/>
      <c r="R50" s="1209" t="s">
        <v>584</v>
      </c>
      <c r="S50" s="1209"/>
      <c r="T50" s="1209"/>
      <c r="U50" s="1209"/>
      <c r="V50" s="1209"/>
      <c r="W50" s="1209"/>
      <c r="X50" s="1210"/>
    </row>
    <row r="51" spans="1:28">
      <c r="A51" s="602" t="s">
        <v>107</v>
      </c>
      <c r="B51" s="603"/>
      <c r="C51" s="603"/>
      <c r="D51" s="603"/>
      <c r="E51" s="603" t="s">
        <v>6</v>
      </c>
      <c r="F51" s="1893">
        <v>13022500</v>
      </c>
      <c r="G51" s="1893"/>
      <c r="H51" s="1893"/>
      <c r="I51" s="1893"/>
      <c r="J51" s="1893"/>
      <c r="K51" s="1893"/>
      <c r="L51" s="1893"/>
      <c r="M51" s="603"/>
      <c r="N51" s="603"/>
      <c r="O51" s="603"/>
      <c r="P51" s="603"/>
      <c r="Q51" s="603"/>
      <c r="R51" s="1209" t="s">
        <v>585</v>
      </c>
      <c r="S51" s="1209"/>
      <c r="T51" s="1209"/>
      <c r="U51" s="1209"/>
      <c r="V51" s="1209"/>
      <c r="W51" s="1209"/>
      <c r="X51" s="1210"/>
      <c r="AB51" s="79"/>
    </row>
    <row r="52" spans="1:28">
      <c r="A52" s="602" t="s">
        <v>108</v>
      </c>
      <c r="B52" s="603"/>
      <c r="C52" s="603"/>
      <c r="D52" s="603"/>
      <c r="E52" s="603" t="s">
        <v>6</v>
      </c>
      <c r="F52" s="1893">
        <v>13022500</v>
      </c>
      <c r="G52" s="1893"/>
      <c r="H52" s="1893"/>
      <c r="I52" s="1893"/>
      <c r="J52" s="1893"/>
      <c r="K52" s="1893"/>
      <c r="L52" s="1893"/>
      <c r="M52" s="603"/>
      <c r="N52" s="603"/>
      <c r="O52" s="603"/>
      <c r="P52" s="603"/>
      <c r="Q52" s="603"/>
      <c r="R52" s="197"/>
      <c r="S52" s="197"/>
      <c r="T52" s="818"/>
      <c r="U52" s="818"/>
      <c r="V52" s="818"/>
      <c r="W52" s="818"/>
      <c r="X52" s="234"/>
    </row>
    <row r="53" spans="1:28" ht="16.5">
      <c r="A53" s="602" t="s">
        <v>109</v>
      </c>
      <c r="B53" s="603"/>
      <c r="C53" s="603"/>
      <c r="D53" s="603"/>
      <c r="E53" s="603" t="s">
        <v>6</v>
      </c>
      <c r="F53" s="1894">
        <v>13022500</v>
      </c>
      <c r="G53" s="1894"/>
      <c r="H53" s="1894"/>
      <c r="I53" s="1894"/>
      <c r="J53" s="1894"/>
      <c r="K53" s="1894"/>
      <c r="L53" s="1894"/>
      <c r="M53" s="603"/>
      <c r="N53" s="603"/>
      <c r="O53" s="603"/>
      <c r="P53" s="603"/>
      <c r="Q53" s="603"/>
      <c r="R53" s="197"/>
      <c r="S53" s="197"/>
      <c r="T53" s="197"/>
      <c r="U53" s="197"/>
      <c r="V53" s="197"/>
      <c r="W53" s="197"/>
      <c r="X53" s="234"/>
    </row>
    <row r="54" spans="1:28">
      <c r="A54" s="602" t="s">
        <v>15</v>
      </c>
      <c r="B54" s="603"/>
      <c r="C54" s="603"/>
      <c r="D54" s="603"/>
      <c r="E54" s="603" t="s">
        <v>6</v>
      </c>
      <c r="F54" s="1893">
        <f>SUM(F50:L53)</f>
        <v>52090000</v>
      </c>
      <c r="G54" s="1893"/>
      <c r="H54" s="1893"/>
      <c r="I54" s="1893"/>
      <c r="J54" s="1893"/>
      <c r="K54" s="1893"/>
      <c r="L54" s="1893"/>
      <c r="M54" s="603"/>
      <c r="N54" s="603"/>
      <c r="O54" s="603"/>
      <c r="P54" s="603"/>
      <c r="Q54" s="603"/>
      <c r="R54" s="1357" t="s">
        <v>849</v>
      </c>
      <c r="S54" s="1357"/>
      <c r="T54" s="1357"/>
      <c r="U54" s="1357"/>
      <c r="V54" s="1357"/>
      <c r="W54" s="1357"/>
      <c r="X54" s="1358"/>
      <c r="Z54">
        <f>V48/4</f>
        <v>13022500</v>
      </c>
    </row>
    <row r="55" spans="1:28">
      <c r="A55" s="602"/>
      <c r="B55" s="603"/>
      <c r="C55" s="603"/>
      <c r="D55" s="603"/>
      <c r="E55" s="603"/>
      <c r="F55" s="603"/>
      <c r="G55" s="603"/>
      <c r="H55" s="603"/>
      <c r="I55" s="603"/>
      <c r="J55" s="603"/>
      <c r="K55" s="603"/>
      <c r="L55" s="603"/>
      <c r="M55" s="603"/>
      <c r="N55" s="603"/>
      <c r="O55" s="603"/>
      <c r="P55" s="603"/>
      <c r="Q55" s="603"/>
      <c r="R55" s="1359" t="s">
        <v>914</v>
      </c>
      <c r="S55" s="1209"/>
      <c r="T55" s="1209"/>
      <c r="U55" s="1209"/>
      <c r="V55" s="1209"/>
      <c r="W55" s="1209"/>
      <c r="X55" s="1210"/>
    </row>
    <row r="56" spans="1:28">
      <c r="A56" s="602"/>
      <c r="B56" s="603"/>
      <c r="C56" s="603"/>
      <c r="D56" s="603"/>
      <c r="E56" s="603"/>
      <c r="F56" s="603"/>
      <c r="G56" s="603"/>
      <c r="H56" s="603"/>
      <c r="I56" s="603"/>
      <c r="J56" s="603"/>
      <c r="K56" s="603"/>
      <c r="L56" s="603"/>
      <c r="M56" s="603"/>
      <c r="N56" s="603"/>
      <c r="O56" s="603"/>
      <c r="P56" s="603"/>
      <c r="Q56" s="601"/>
      <c r="R56" s="1428"/>
      <c r="S56" s="1479"/>
      <c r="T56" s="1479"/>
      <c r="U56" s="1479"/>
      <c r="V56" s="1479"/>
      <c r="W56" s="1479"/>
      <c r="X56" s="1480"/>
      <c r="Z56">
        <f>V48/4</f>
        <v>13022500</v>
      </c>
    </row>
    <row r="57" spans="1:28">
      <c r="A57" s="1418" t="s">
        <v>1018</v>
      </c>
      <c r="B57" s="1400"/>
      <c r="C57" s="1400"/>
      <c r="D57" s="1400"/>
      <c r="E57" s="1400"/>
      <c r="F57" s="1400"/>
      <c r="G57" s="1400"/>
      <c r="H57" s="1400"/>
      <c r="I57" s="1400"/>
      <c r="J57" s="1400"/>
      <c r="K57" s="1400"/>
      <c r="L57" s="1400"/>
      <c r="M57" s="1400"/>
      <c r="N57" s="1400"/>
      <c r="O57" s="1400"/>
      <c r="P57" s="1400"/>
      <c r="Q57" s="601"/>
      <c r="R57" s="1456" t="s">
        <v>921</v>
      </c>
      <c r="S57" s="1209"/>
      <c r="T57" s="1209"/>
      <c r="U57" s="1209"/>
      <c r="V57" s="1209"/>
      <c r="W57" s="1209"/>
      <c r="X57" s="1210"/>
    </row>
    <row r="58" spans="1:28">
      <c r="A58" s="663"/>
      <c r="B58" s="664"/>
      <c r="C58" s="664"/>
      <c r="D58" s="664"/>
      <c r="E58" s="664"/>
      <c r="F58" s="664"/>
      <c r="G58" s="664"/>
      <c r="H58" s="664"/>
      <c r="I58" s="664"/>
      <c r="J58" s="664"/>
      <c r="K58" s="664"/>
      <c r="L58" s="664"/>
      <c r="M58" s="664"/>
      <c r="N58" s="664"/>
      <c r="O58" s="664"/>
      <c r="P58" s="664"/>
      <c r="Q58" s="603"/>
      <c r="R58" s="674"/>
      <c r="S58" s="675"/>
      <c r="T58" s="675"/>
      <c r="U58" s="675"/>
      <c r="V58" s="675"/>
      <c r="W58" s="675"/>
      <c r="X58" s="676"/>
    </row>
    <row r="59" spans="1:28">
      <c r="A59" s="602">
        <v>1</v>
      </c>
      <c r="B59" s="197" t="s">
        <v>460</v>
      </c>
      <c r="C59" s="603"/>
      <c r="D59" s="603"/>
      <c r="E59" s="603"/>
      <c r="F59" s="603"/>
      <c r="G59" s="603"/>
      <c r="H59" s="603"/>
      <c r="I59" s="603"/>
      <c r="J59" s="603"/>
      <c r="K59" s="603" t="s">
        <v>193</v>
      </c>
      <c r="L59" s="603"/>
      <c r="M59" s="603"/>
      <c r="N59" s="603"/>
      <c r="O59" s="603"/>
      <c r="P59" s="603"/>
      <c r="Q59" s="603"/>
      <c r="R59" s="1208" t="s">
        <v>155</v>
      </c>
      <c r="S59" s="1209"/>
      <c r="T59" s="1209"/>
      <c r="U59" s="1209"/>
      <c r="V59" s="1209"/>
      <c r="W59" s="1209"/>
      <c r="X59" s="1210"/>
    </row>
    <row r="60" spans="1:28">
      <c r="A60" s="602"/>
      <c r="B60" s="197" t="s">
        <v>1019</v>
      </c>
      <c r="C60" s="603"/>
      <c r="D60" s="603"/>
      <c r="E60" s="603"/>
      <c r="F60" s="603"/>
      <c r="G60" s="603"/>
      <c r="H60" s="603"/>
      <c r="I60" s="603"/>
      <c r="J60" s="603"/>
      <c r="K60" s="603"/>
      <c r="L60" s="603"/>
      <c r="M60" s="603"/>
      <c r="N60" s="603"/>
      <c r="O60" s="603"/>
      <c r="P60" s="603"/>
      <c r="Q60" s="603"/>
      <c r="R60" s="1208" t="s">
        <v>114</v>
      </c>
      <c r="S60" s="1209"/>
      <c r="T60" s="1209"/>
      <c r="U60" s="1209"/>
      <c r="V60" s="1209"/>
      <c r="W60" s="1209"/>
      <c r="X60" s="1210"/>
    </row>
    <row r="61" spans="1:28">
      <c r="A61" s="602"/>
      <c r="B61" s="603"/>
      <c r="C61" s="603"/>
      <c r="D61" s="603"/>
      <c r="E61" s="603"/>
      <c r="F61" s="603"/>
      <c r="G61" s="603"/>
      <c r="H61" s="603"/>
      <c r="I61" s="603"/>
      <c r="J61" s="603"/>
      <c r="K61" s="603"/>
      <c r="L61" s="603"/>
      <c r="M61" s="603"/>
      <c r="N61" s="603"/>
      <c r="O61" s="603"/>
      <c r="P61" s="603"/>
      <c r="Q61" s="603"/>
      <c r="R61" s="196"/>
      <c r="S61" s="197"/>
      <c r="T61" s="197"/>
      <c r="U61" s="197"/>
      <c r="V61" s="197"/>
      <c r="W61" s="197"/>
      <c r="X61" s="234"/>
    </row>
    <row r="62" spans="1:28">
      <c r="A62" s="602">
        <v>2</v>
      </c>
      <c r="B62" s="603" t="s">
        <v>194</v>
      </c>
      <c r="C62" s="603"/>
      <c r="D62" s="603"/>
      <c r="E62" s="603"/>
      <c r="F62" s="603"/>
      <c r="G62" s="603"/>
      <c r="H62" s="603"/>
      <c r="I62" s="603"/>
      <c r="J62" s="603"/>
      <c r="K62" s="603"/>
      <c r="L62" s="603"/>
      <c r="M62" s="603"/>
      <c r="N62" s="603" t="s">
        <v>195</v>
      </c>
      <c r="O62" s="603"/>
      <c r="P62" s="603"/>
      <c r="Q62" s="603"/>
      <c r="R62" s="196"/>
      <c r="S62" s="197"/>
      <c r="T62" s="197"/>
      <c r="U62" s="197"/>
      <c r="V62" s="197"/>
      <c r="W62" s="197"/>
      <c r="X62" s="234"/>
      <c r="Z62" s="580"/>
    </row>
    <row r="63" spans="1:28">
      <c r="A63" s="602"/>
      <c r="B63" s="197" t="s">
        <v>1019</v>
      </c>
      <c r="C63" s="603"/>
      <c r="D63" s="603"/>
      <c r="E63" s="603"/>
      <c r="F63" s="603"/>
      <c r="G63" s="603"/>
      <c r="H63" s="603"/>
      <c r="I63" s="603"/>
      <c r="J63" s="603"/>
      <c r="K63" s="603"/>
      <c r="L63" s="603"/>
      <c r="M63" s="603"/>
      <c r="N63" s="603"/>
      <c r="O63" s="603"/>
      <c r="P63" s="603"/>
      <c r="Q63" s="603"/>
      <c r="R63" s="196"/>
      <c r="S63" s="197"/>
      <c r="T63" s="197"/>
      <c r="U63" s="197"/>
      <c r="V63" s="197"/>
      <c r="W63" s="197"/>
      <c r="X63" s="234"/>
    </row>
    <row r="64" spans="1:28">
      <c r="A64" s="602"/>
      <c r="B64" s="603"/>
      <c r="C64" s="603"/>
      <c r="D64" s="603"/>
      <c r="E64" s="603"/>
      <c r="F64" s="603"/>
      <c r="G64" s="603"/>
      <c r="H64" s="603"/>
      <c r="I64" s="603"/>
      <c r="J64" s="603"/>
      <c r="K64" s="603"/>
      <c r="L64" s="603"/>
      <c r="M64" s="603"/>
      <c r="N64" s="603"/>
      <c r="O64" s="603"/>
      <c r="P64" s="603"/>
      <c r="Q64" s="603"/>
      <c r="R64" s="1427" t="s">
        <v>115</v>
      </c>
      <c r="S64" s="1357"/>
      <c r="T64" s="1357"/>
      <c r="U64" s="1357"/>
      <c r="V64" s="1357"/>
      <c r="W64" s="1357"/>
      <c r="X64" s="1358"/>
    </row>
    <row r="65" spans="1:24">
      <c r="A65" s="602"/>
      <c r="B65" s="603"/>
      <c r="C65" s="603"/>
      <c r="D65" s="603"/>
      <c r="E65" s="603"/>
      <c r="F65" s="603"/>
      <c r="G65" s="603"/>
      <c r="H65" s="603"/>
      <c r="I65" s="603"/>
      <c r="J65" s="603"/>
      <c r="K65" s="603"/>
      <c r="L65" s="603"/>
      <c r="M65" s="603"/>
      <c r="N65" s="603"/>
      <c r="O65" s="603"/>
      <c r="P65" s="603"/>
      <c r="Q65" s="603"/>
      <c r="R65" s="1208" t="s">
        <v>116</v>
      </c>
      <c r="S65" s="1209"/>
      <c r="T65" s="1209"/>
      <c r="U65" s="1209"/>
      <c r="V65" s="1209"/>
      <c r="W65" s="1209"/>
      <c r="X65" s="1210"/>
    </row>
    <row r="66" spans="1:24" ht="15.75" thickBot="1">
      <c r="A66" s="697"/>
      <c r="B66" s="634"/>
      <c r="C66" s="634"/>
      <c r="D66" s="634"/>
      <c r="E66" s="634"/>
      <c r="F66" s="634"/>
      <c r="G66" s="634"/>
      <c r="H66" s="634"/>
      <c r="I66" s="634"/>
      <c r="J66" s="634"/>
      <c r="K66" s="634"/>
      <c r="L66" s="634"/>
      <c r="M66" s="634"/>
      <c r="N66" s="634"/>
      <c r="O66" s="634"/>
      <c r="P66" s="634"/>
      <c r="Q66" s="634"/>
      <c r="R66" s="325"/>
      <c r="S66" s="239"/>
      <c r="T66" s="239"/>
      <c r="U66" s="239"/>
      <c r="V66" s="239"/>
      <c r="W66" s="239"/>
      <c r="X66" s="326"/>
    </row>
  </sheetData>
  <mergeCells count="114">
    <mergeCell ref="R64:X64"/>
    <mergeCell ref="R65:X65"/>
    <mergeCell ref="R55:X55"/>
    <mergeCell ref="R56:X56"/>
    <mergeCell ref="A57:P57"/>
    <mergeCell ref="R57:X57"/>
    <mergeCell ref="R59:X59"/>
    <mergeCell ref="R60:X60"/>
    <mergeCell ref="F50:L50"/>
    <mergeCell ref="R50:X50"/>
    <mergeCell ref="F51:L51"/>
    <mergeCell ref="F52:L52"/>
    <mergeCell ref="F53:L53"/>
    <mergeCell ref="F54:L54"/>
    <mergeCell ref="R54:X54"/>
    <mergeCell ref="T46:U46"/>
    <mergeCell ref="V46:X46"/>
    <mergeCell ref="A48:U48"/>
    <mergeCell ref="V48:X48"/>
    <mergeCell ref="R49:X49"/>
    <mergeCell ref="R51:X51"/>
    <mergeCell ref="A43:L43"/>
    <mergeCell ref="V43:X43"/>
    <mergeCell ref="R44:S44"/>
    <mergeCell ref="T44:U44"/>
    <mergeCell ref="V44:X44"/>
    <mergeCell ref="R45:S45"/>
    <mergeCell ref="T45:U45"/>
    <mergeCell ref="V45:X45"/>
    <mergeCell ref="A38:L38"/>
    <mergeCell ref="V38:X38"/>
    <mergeCell ref="R40:S40"/>
    <mergeCell ref="T40:U40"/>
    <mergeCell ref="V40:X40"/>
    <mergeCell ref="V41:X41"/>
    <mergeCell ref="R41:S41"/>
    <mergeCell ref="T41:U41"/>
    <mergeCell ref="V33:X33"/>
    <mergeCell ref="M29:P29"/>
    <mergeCell ref="R36:S36"/>
    <mergeCell ref="T36:U36"/>
    <mergeCell ref="V36:X36"/>
    <mergeCell ref="R37:S37"/>
    <mergeCell ref="T37:U37"/>
    <mergeCell ref="V37:X37"/>
    <mergeCell ref="A34:L34"/>
    <mergeCell ref="R34:S34"/>
    <mergeCell ref="T34:U34"/>
    <mergeCell ref="V34:X34"/>
    <mergeCell ref="R35:S35"/>
    <mergeCell ref="T35:U35"/>
    <mergeCell ref="V35:X35"/>
    <mergeCell ref="R32:S32"/>
    <mergeCell ref="T32:U32"/>
    <mergeCell ref="V32:X32"/>
    <mergeCell ref="A29:L29"/>
    <mergeCell ref="V29:X29"/>
    <mergeCell ref="A30:L30"/>
    <mergeCell ref="V30:X30"/>
    <mergeCell ref="R31:S31"/>
    <mergeCell ref="T31:U31"/>
    <mergeCell ref="V31:X31"/>
    <mergeCell ref="A27:L27"/>
    <mergeCell ref="V27:X27"/>
    <mergeCell ref="A28:L28"/>
    <mergeCell ref="V28:X28"/>
    <mergeCell ref="V24:X24"/>
    <mergeCell ref="A25:L25"/>
    <mergeCell ref="M25:P25"/>
    <mergeCell ref="R25:S25"/>
    <mergeCell ref="T25:U25"/>
    <mergeCell ref="V25:X25"/>
    <mergeCell ref="A26:L26"/>
    <mergeCell ref="M26:P26"/>
    <mergeCell ref="V26:X26"/>
    <mergeCell ref="U19:X19"/>
    <mergeCell ref="A21:X21"/>
    <mergeCell ref="A22:X22"/>
    <mergeCell ref="A23:L23"/>
    <mergeCell ref="M23:P24"/>
    <mergeCell ref="Q23:U23"/>
    <mergeCell ref="V23:X23"/>
    <mergeCell ref="A24:L24"/>
    <mergeCell ref="R24:S24"/>
    <mergeCell ref="T24:U24"/>
    <mergeCell ref="A15:F15"/>
    <mergeCell ref="I15:T15"/>
    <mergeCell ref="U15:X15"/>
    <mergeCell ref="U16:X16"/>
    <mergeCell ref="V17:X17"/>
    <mergeCell ref="U18:X18"/>
    <mergeCell ref="U3:U4"/>
    <mergeCell ref="V3:V4"/>
    <mergeCell ref="A14:X14"/>
    <mergeCell ref="A12:J12"/>
    <mergeCell ref="W4:X4"/>
    <mergeCell ref="A5:V5"/>
    <mergeCell ref="A6:V6"/>
    <mergeCell ref="A1:O2"/>
    <mergeCell ref="W1:X1"/>
    <mergeCell ref="W2:X2"/>
    <mergeCell ref="A3:O4"/>
    <mergeCell ref="P3:P4"/>
    <mergeCell ref="Q3:Q4"/>
    <mergeCell ref="R3:R4"/>
    <mergeCell ref="S3:S4"/>
    <mergeCell ref="T3:T4"/>
    <mergeCell ref="P1:P2"/>
    <mergeCell ref="Q1:Q2"/>
    <mergeCell ref="R1:R2"/>
    <mergeCell ref="S1:S2"/>
    <mergeCell ref="T1:T2"/>
    <mergeCell ref="U1:U2"/>
    <mergeCell ref="V1:V2"/>
  </mergeCells>
  <pageMargins left="0.74" right="0.56999999999999995" top="0.75" bottom="0.75" header="0.3" footer="0.3"/>
  <pageSetup paperSize="5" scale="80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B64"/>
  <sheetViews>
    <sheetView tabSelected="1" topLeftCell="A22" workbookViewId="0">
      <selection activeCell="AB25" sqref="AB25"/>
    </sheetView>
  </sheetViews>
  <sheetFormatPr defaultRowHeight="15"/>
  <cols>
    <col min="1" max="1" width="2.28515625" customWidth="1"/>
    <col min="2" max="2" width="2.140625" customWidth="1"/>
    <col min="3" max="3" width="2.42578125" customWidth="1"/>
    <col min="4" max="4" width="3.85546875" customWidth="1"/>
    <col min="5" max="5" width="2.28515625" customWidth="1"/>
    <col min="6" max="6" width="3.42578125" customWidth="1"/>
    <col min="7" max="7" width="2.140625" customWidth="1"/>
    <col min="8" max="8" width="2.42578125" customWidth="1"/>
    <col min="9" max="9" width="1.42578125" customWidth="1"/>
    <col min="10" max="10" width="2.140625" customWidth="1"/>
    <col min="11" max="11" width="2.5703125" customWidth="1"/>
    <col min="12" max="12" width="4.7109375" customWidth="1"/>
    <col min="15" max="15" width="4.7109375" customWidth="1"/>
    <col min="16" max="16" width="4.140625" customWidth="1"/>
    <col min="17" max="17" width="8" customWidth="1"/>
    <col min="18" max="18" width="5.42578125" customWidth="1"/>
    <col min="19" max="19" width="6.28515625" customWidth="1"/>
    <col min="20" max="20" width="5.42578125" customWidth="1"/>
    <col min="21" max="21" width="4.5703125" customWidth="1"/>
    <col min="22" max="23" width="5.140625" customWidth="1"/>
    <col min="24" max="24" width="11" customWidth="1"/>
    <col min="28" max="28" width="13.28515625" bestFit="1" customWidth="1"/>
  </cols>
  <sheetData>
    <row r="1" spans="1:24">
      <c r="A1" s="1386" t="s">
        <v>0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8"/>
      <c r="P1" s="1936" t="s">
        <v>559</v>
      </c>
      <c r="Q1" s="1929" t="s">
        <v>559</v>
      </c>
      <c r="R1" s="1937" t="s">
        <v>157</v>
      </c>
      <c r="S1" s="1937" t="s">
        <v>198</v>
      </c>
      <c r="T1" s="1445" t="s">
        <v>406</v>
      </c>
      <c r="U1" s="1929" t="s">
        <v>158</v>
      </c>
      <c r="V1" s="1929" t="s">
        <v>159</v>
      </c>
      <c r="W1" s="1780"/>
      <c r="X1" s="1781"/>
    </row>
    <row r="2" spans="1:24" ht="13.5" customHeight="1">
      <c r="A2" s="1389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1"/>
      <c r="P2" s="1895"/>
      <c r="Q2" s="1897"/>
      <c r="R2" s="1897"/>
      <c r="S2" s="1899"/>
      <c r="T2" s="1899"/>
      <c r="U2" s="1897"/>
      <c r="V2" s="1897"/>
      <c r="W2" s="1782" t="s">
        <v>1</v>
      </c>
      <c r="X2" s="1783"/>
    </row>
    <row r="3" spans="1:24">
      <c r="A3" s="1379" t="s">
        <v>2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1"/>
      <c r="P3" s="1895"/>
      <c r="Q3" s="1897"/>
      <c r="R3" s="1899"/>
      <c r="S3" s="1899"/>
      <c r="T3" s="1899"/>
      <c r="U3" s="1897"/>
      <c r="V3" s="1897"/>
      <c r="W3" s="895"/>
      <c r="X3" s="896"/>
    </row>
    <row r="4" spans="1:24" ht="13.5" customHeight="1">
      <c r="A4" s="1382"/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4"/>
      <c r="P4" s="1896"/>
      <c r="Q4" s="1898"/>
      <c r="R4" s="1898"/>
      <c r="S4" s="1900"/>
      <c r="T4" s="1900"/>
      <c r="U4" s="1898"/>
      <c r="V4" s="1898"/>
      <c r="W4" s="1164" t="s">
        <v>1040</v>
      </c>
      <c r="X4" s="1393"/>
    </row>
    <row r="5" spans="1:24" ht="15.75">
      <c r="A5" s="1930" t="s">
        <v>717</v>
      </c>
      <c r="B5" s="1931"/>
      <c r="C5" s="1931"/>
      <c r="D5" s="1931"/>
      <c r="E5" s="1931"/>
      <c r="F5" s="1931"/>
      <c r="G5" s="1931"/>
      <c r="H5" s="1931"/>
      <c r="I5" s="1931"/>
      <c r="J5" s="1931"/>
      <c r="K5" s="1931"/>
      <c r="L5" s="1931"/>
      <c r="M5" s="1931"/>
      <c r="N5" s="1931"/>
      <c r="O5" s="1931"/>
      <c r="P5" s="1931"/>
      <c r="Q5" s="1931"/>
      <c r="R5" s="1931"/>
      <c r="S5" s="1931"/>
      <c r="T5" s="1931"/>
      <c r="U5" s="1931"/>
      <c r="V5" s="1932"/>
      <c r="W5" s="893"/>
      <c r="X5" s="894"/>
    </row>
    <row r="6" spans="1:24" ht="15.75">
      <c r="A6" s="1933" t="s">
        <v>922</v>
      </c>
      <c r="B6" s="1934"/>
      <c r="C6" s="1934"/>
      <c r="D6" s="1934"/>
      <c r="E6" s="1934"/>
      <c r="F6" s="1934"/>
      <c r="G6" s="1934"/>
      <c r="H6" s="1934"/>
      <c r="I6" s="1934"/>
      <c r="J6" s="1934"/>
      <c r="K6" s="1934"/>
      <c r="L6" s="1934"/>
      <c r="M6" s="1934"/>
      <c r="N6" s="1934"/>
      <c r="O6" s="1934"/>
      <c r="P6" s="1934"/>
      <c r="Q6" s="1934"/>
      <c r="R6" s="1934"/>
      <c r="S6" s="1934"/>
      <c r="T6" s="1934"/>
      <c r="U6" s="1934"/>
      <c r="V6" s="1935"/>
      <c r="W6" s="891"/>
      <c r="X6" s="892"/>
    </row>
    <row r="7" spans="1:24">
      <c r="A7" s="698" t="s">
        <v>5</v>
      </c>
      <c r="B7" s="328"/>
      <c r="C7" s="328"/>
      <c r="D7" s="328"/>
      <c r="E7" s="328"/>
      <c r="F7" s="328"/>
      <c r="G7" s="328"/>
      <c r="H7" s="328"/>
      <c r="I7" s="328"/>
      <c r="J7" s="328"/>
      <c r="K7" s="328" t="s">
        <v>6</v>
      </c>
      <c r="L7" s="328" t="s">
        <v>559</v>
      </c>
      <c r="M7" s="328"/>
      <c r="N7" s="328"/>
      <c r="O7" s="328"/>
      <c r="P7" s="699" t="s">
        <v>8</v>
      </c>
      <c r="Q7" s="699"/>
      <c r="R7" s="699"/>
      <c r="S7" s="699"/>
      <c r="T7" s="699"/>
      <c r="U7" s="700"/>
      <c r="V7" s="700"/>
      <c r="W7" s="700"/>
      <c r="X7" s="329"/>
    </row>
    <row r="8" spans="1:24">
      <c r="A8" s="698" t="s">
        <v>9</v>
      </c>
      <c r="B8" s="328"/>
      <c r="C8" s="328"/>
      <c r="D8" s="328"/>
      <c r="E8" s="328"/>
      <c r="F8" s="328"/>
      <c r="G8" s="328"/>
      <c r="H8" s="328"/>
      <c r="I8" s="328"/>
      <c r="J8" s="328"/>
      <c r="K8" s="328" t="s">
        <v>6</v>
      </c>
      <c r="L8" s="701" t="s">
        <v>529</v>
      </c>
      <c r="M8" s="701"/>
      <c r="N8" s="328"/>
      <c r="O8" s="328"/>
      <c r="P8" s="701" t="s">
        <v>11</v>
      </c>
      <c r="Q8" s="701"/>
      <c r="R8" s="701"/>
      <c r="S8" s="701"/>
      <c r="T8" s="701"/>
      <c r="U8" s="700"/>
      <c r="V8" s="700"/>
      <c r="W8" s="700"/>
      <c r="X8" s="329"/>
    </row>
    <row r="9" spans="1:24">
      <c r="A9" s="698" t="s">
        <v>162</v>
      </c>
      <c r="B9" s="328"/>
      <c r="C9" s="328"/>
      <c r="D9" s="328"/>
      <c r="E9" s="328"/>
      <c r="F9" s="328"/>
      <c r="G9" s="328"/>
      <c r="H9" s="328"/>
      <c r="I9" s="328"/>
      <c r="J9" s="328"/>
      <c r="K9" s="328" t="s">
        <v>6</v>
      </c>
      <c r="L9" s="328" t="s">
        <v>610</v>
      </c>
      <c r="M9" s="700"/>
      <c r="N9" s="700"/>
      <c r="O9" s="700"/>
      <c r="P9" s="328" t="s">
        <v>93</v>
      </c>
      <c r="Q9" s="700"/>
      <c r="R9" s="700"/>
      <c r="S9" s="700"/>
      <c r="T9" s="700"/>
      <c r="U9" s="700"/>
      <c r="V9" s="700"/>
      <c r="W9" s="700"/>
      <c r="X9" s="329"/>
    </row>
    <row r="10" spans="1:24">
      <c r="A10" s="698" t="s">
        <v>58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 t="s">
        <v>6</v>
      </c>
      <c r="L10" s="328" t="s">
        <v>617</v>
      </c>
      <c r="M10" s="328"/>
      <c r="N10" s="328"/>
      <c r="O10" s="328"/>
      <c r="P10" s="702" t="s">
        <v>407</v>
      </c>
      <c r="Q10" s="702"/>
      <c r="R10" s="702"/>
      <c r="S10" s="702"/>
      <c r="T10" s="702"/>
      <c r="U10" s="702"/>
      <c r="V10" s="702"/>
      <c r="W10" s="702"/>
      <c r="X10" s="329"/>
    </row>
    <row r="11" spans="1:24">
      <c r="A11" s="698" t="s">
        <v>165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 t="s">
        <v>6</v>
      </c>
      <c r="L11" s="886" t="s">
        <v>923</v>
      </c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9"/>
    </row>
    <row r="12" spans="1:24">
      <c r="A12" s="698" t="s">
        <v>164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 t="s">
        <v>6</v>
      </c>
      <c r="L12" s="328" t="s">
        <v>919</v>
      </c>
      <c r="M12" s="328"/>
      <c r="N12" s="328"/>
      <c r="O12" s="328"/>
      <c r="P12" s="328"/>
      <c r="Q12" s="703"/>
      <c r="R12" s="328"/>
      <c r="S12" s="328"/>
      <c r="T12" s="328"/>
      <c r="U12" s="328"/>
      <c r="V12" s="328"/>
      <c r="W12" s="328"/>
      <c r="X12" s="329"/>
    </row>
    <row r="13" spans="1:24">
      <c r="A13" s="698" t="s">
        <v>167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 t="s">
        <v>6</v>
      </c>
      <c r="L13" s="328" t="s">
        <v>68</v>
      </c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9"/>
    </row>
    <row r="14" spans="1:24">
      <c r="A14" s="1763" t="s">
        <v>260</v>
      </c>
      <c r="B14" s="1764"/>
      <c r="C14" s="1764"/>
      <c r="D14" s="1764"/>
      <c r="E14" s="1764"/>
      <c r="F14" s="1764"/>
      <c r="G14" s="1764"/>
      <c r="H14" s="1764"/>
      <c r="I14" s="1764"/>
      <c r="J14" s="1764"/>
      <c r="K14" s="1764"/>
      <c r="L14" s="1764"/>
      <c r="M14" s="1764"/>
      <c r="N14" s="1764"/>
      <c r="O14" s="1764"/>
      <c r="P14" s="1764"/>
      <c r="Q14" s="1764"/>
      <c r="R14" s="1764"/>
      <c r="S14" s="1764"/>
      <c r="T14" s="1764"/>
      <c r="U14" s="1764"/>
      <c r="V14" s="1764"/>
      <c r="W14" s="1764"/>
      <c r="X14" s="1767"/>
    </row>
    <row r="15" spans="1:24">
      <c r="A15" s="1763" t="s">
        <v>169</v>
      </c>
      <c r="B15" s="1764"/>
      <c r="C15" s="1764"/>
      <c r="D15" s="1764"/>
      <c r="E15" s="1764"/>
      <c r="F15" s="1764"/>
      <c r="G15" s="704"/>
      <c r="H15" s="704"/>
      <c r="I15" s="1765" t="s">
        <v>170</v>
      </c>
      <c r="J15" s="1764"/>
      <c r="K15" s="1764"/>
      <c r="L15" s="1764"/>
      <c r="M15" s="1764"/>
      <c r="N15" s="1764"/>
      <c r="O15" s="1764"/>
      <c r="P15" s="1764"/>
      <c r="Q15" s="1764"/>
      <c r="R15" s="1764"/>
      <c r="S15" s="1764"/>
      <c r="T15" s="1766"/>
      <c r="U15" s="1765" t="s">
        <v>171</v>
      </c>
      <c r="V15" s="1764"/>
      <c r="W15" s="1764"/>
      <c r="X15" s="1767"/>
    </row>
    <row r="16" spans="1:24">
      <c r="A16" s="705" t="s">
        <v>172</v>
      </c>
      <c r="B16" s="706"/>
      <c r="C16" s="706"/>
      <c r="D16" s="706"/>
      <c r="E16" s="706"/>
      <c r="F16" s="706"/>
      <c r="G16" s="706"/>
      <c r="H16" s="706"/>
      <c r="I16" s="707" t="s">
        <v>408</v>
      </c>
      <c r="J16" s="708"/>
      <c r="K16" s="708"/>
      <c r="L16" s="708"/>
      <c r="M16" s="708"/>
      <c r="N16" s="708"/>
      <c r="O16" s="708"/>
      <c r="P16" s="708"/>
      <c r="Q16" s="708"/>
      <c r="R16" s="708"/>
      <c r="S16" s="708"/>
      <c r="T16" s="709"/>
      <c r="U16" s="1768">
        <v>1</v>
      </c>
      <c r="V16" s="1769"/>
      <c r="W16" s="1769"/>
      <c r="X16" s="1770"/>
    </row>
    <row r="17" spans="1:24">
      <c r="A17" s="698" t="s">
        <v>174</v>
      </c>
      <c r="B17" s="328"/>
      <c r="C17" s="328"/>
      <c r="D17" s="328"/>
      <c r="E17" s="328"/>
      <c r="F17" s="328"/>
      <c r="G17" s="328"/>
      <c r="H17" s="328"/>
      <c r="I17" s="710" t="s">
        <v>175</v>
      </c>
      <c r="J17" s="711"/>
      <c r="K17" s="711"/>
      <c r="L17" s="711"/>
      <c r="M17" s="711"/>
      <c r="N17" s="711"/>
      <c r="O17" s="711"/>
      <c r="P17" s="711"/>
      <c r="Q17" s="711"/>
      <c r="R17" s="711"/>
      <c r="S17" s="711"/>
      <c r="T17" s="712"/>
      <c r="U17" s="713" t="s">
        <v>154</v>
      </c>
      <c r="V17" s="1771">
        <f>V27</f>
        <v>9000000</v>
      </c>
      <c r="W17" s="1771"/>
      <c r="X17" s="1772"/>
    </row>
    <row r="18" spans="1:24">
      <c r="A18" s="698" t="s">
        <v>176</v>
      </c>
      <c r="B18" s="328"/>
      <c r="C18" s="328"/>
      <c r="D18" s="328"/>
      <c r="E18" s="328"/>
      <c r="F18" s="328"/>
      <c r="G18" s="328"/>
      <c r="H18" s="328"/>
      <c r="I18" s="710" t="s">
        <v>409</v>
      </c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2"/>
      <c r="U18" s="1773" t="s">
        <v>178</v>
      </c>
      <c r="V18" s="1774"/>
      <c r="W18" s="1774"/>
      <c r="X18" s="1775"/>
    </row>
    <row r="19" spans="1:24">
      <c r="A19" s="714" t="s">
        <v>179</v>
      </c>
      <c r="B19" s="715"/>
      <c r="C19" s="715"/>
      <c r="D19" s="715"/>
      <c r="E19" s="715"/>
      <c r="F19" s="715"/>
      <c r="G19" s="715"/>
      <c r="H19" s="715"/>
      <c r="I19" s="716" t="s">
        <v>410</v>
      </c>
      <c r="J19" s="717"/>
      <c r="K19" s="717"/>
      <c r="L19" s="717"/>
      <c r="M19" s="717"/>
      <c r="N19" s="717"/>
      <c r="O19" s="717"/>
      <c r="P19" s="717"/>
      <c r="Q19" s="717"/>
      <c r="R19" s="717"/>
      <c r="S19" s="717"/>
      <c r="T19" s="718"/>
      <c r="U19" s="1792" t="s">
        <v>181</v>
      </c>
      <c r="V19" s="1793"/>
      <c r="W19" s="1793"/>
      <c r="X19" s="1794"/>
    </row>
    <row r="20" spans="1:24">
      <c r="A20" s="698" t="s">
        <v>182</v>
      </c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 t="s">
        <v>6</v>
      </c>
      <c r="M20" s="328" t="s">
        <v>920</v>
      </c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9"/>
    </row>
    <row r="21" spans="1:24">
      <c r="A21" s="1515" t="s">
        <v>718</v>
      </c>
      <c r="B21" s="1516"/>
      <c r="C21" s="1516"/>
      <c r="D21" s="1516"/>
      <c r="E21" s="1516"/>
      <c r="F21" s="1516"/>
      <c r="G21" s="1516"/>
      <c r="H21" s="1516"/>
      <c r="I21" s="1516"/>
      <c r="J21" s="1516"/>
      <c r="K21" s="1516"/>
      <c r="L21" s="1516"/>
      <c r="M21" s="1516"/>
      <c r="N21" s="1516"/>
      <c r="O21" s="1516"/>
      <c r="P21" s="1516"/>
      <c r="Q21" s="1516"/>
      <c r="R21" s="1516"/>
      <c r="S21" s="1516"/>
      <c r="T21" s="1516"/>
      <c r="U21" s="1516"/>
      <c r="V21" s="1516"/>
      <c r="W21" s="1516"/>
      <c r="X21" s="1517"/>
    </row>
    <row r="22" spans="1:24">
      <c r="A22" s="1782" t="s">
        <v>719</v>
      </c>
      <c r="B22" s="1795"/>
      <c r="C22" s="1795"/>
      <c r="D22" s="1795"/>
      <c r="E22" s="1795"/>
      <c r="F22" s="1795"/>
      <c r="G22" s="1795"/>
      <c r="H22" s="1795"/>
      <c r="I22" s="1795"/>
      <c r="J22" s="1795"/>
      <c r="K22" s="1795"/>
      <c r="L22" s="1795"/>
      <c r="M22" s="1795"/>
      <c r="N22" s="1795"/>
      <c r="O22" s="1795"/>
      <c r="P22" s="1795"/>
      <c r="Q22" s="1795"/>
      <c r="R22" s="1795"/>
      <c r="S22" s="1795"/>
      <c r="T22" s="1795"/>
      <c r="U22" s="1795"/>
      <c r="V22" s="1795"/>
      <c r="W22" s="1795"/>
      <c r="X22" s="1783"/>
    </row>
    <row r="23" spans="1:24">
      <c r="A23" s="1515" t="s">
        <v>13</v>
      </c>
      <c r="B23" s="1516"/>
      <c r="C23" s="1516"/>
      <c r="D23" s="1516"/>
      <c r="E23" s="1516"/>
      <c r="F23" s="1516"/>
      <c r="G23" s="1516"/>
      <c r="H23" s="1516"/>
      <c r="I23" s="1516"/>
      <c r="J23" s="1516"/>
      <c r="K23" s="1516"/>
      <c r="L23" s="1796"/>
      <c r="M23" s="1797" t="s">
        <v>14</v>
      </c>
      <c r="N23" s="1438"/>
      <c r="O23" s="1438"/>
      <c r="P23" s="1439"/>
      <c r="Q23" s="1799" t="s">
        <v>121</v>
      </c>
      <c r="R23" s="1516"/>
      <c r="S23" s="1516"/>
      <c r="T23" s="1516"/>
      <c r="U23" s="1516"/>
      <c r="V23" s="1799" t="s">
        <v>15</v>
      </c>
      <c r="W23" s="1516"/>
      <c r="X23" s="1517"/>
    </row>
    <row r="24" spans="1:24">
      <c r="A24" s="1782" t="s">
        <v>16</v>
      </c>
      <c r="B24" s="1795"/>
      <c r="C24" s="1795"/>
      <c r="D24" s="1795"/>
      <c r="E24" s="1795"/>
      <c r="F24" s="1795"/>
      <c r="G24" s="1795"/>
      <c r="H24" s="1795"/>
      <c r="I24" s="1795"/>
      <c r="J24" s="1795"/>
      <c r="K24" s="1795"/>
      <c r="L24" s="1800"/>
      <c r="M24" s="1798"/>
      <c r="N24" s="1441"/>
      <c r="O24" s="1441"/>
      <c r="P24" s="1442"/>
      <c r="Q24" s="719" t="s">
        <v>122</v>
      </c>
      <c r="R24" s="1765" t="s">
        <v>123</v>
      </c>
      <c r="S24" s="1766"/>
      <c r="T24" s="1765" t="s">
        <v>124</v>
      </c>
      <c r="U24" s="1766"/>
      <c r="V24" s="1801" t="s">
        <v>17</v>
      </c>
      <c r="W24" s="1795"/>
      <c r="X24" s="1783"/>
    </row>
    <row r="25" spans="1:24">
      <c r="A25" s="1763">
        <v>1</v>
      </c>
      <c r="B25" s="1764"/>
      <c r="C25" s="1764"/>
      <c r="D25" s="1764"/>
      <c r="E25" s="1764"/>
      <c r="F25" s="1764"/>
      <c r="G25" s="1764"/>
      <c r="H25" s="1764"/>
      <c r="I25" s="1764"/>
      <c r="J25" s="1764"/>
      <c r="K25" s="1764"/>
      <c r="L25" s="1766"/>
      <c r="M25" s="1765">
        <v>2</v>
      </c>
      <c r="N25" s="1764"/>
      <c r="O25" s="1764"/>
      <c r="P25" s="1766"/>
      <c r="Q25" s="720">
        <v>3</v>
      </c>
      <c r="R25" s="1765">
        <v>4</v>
      </c>
      <c r="S25" s="1766"/>
      <c r="T25" s="1765">
        <v>5</v>
      </c>
      <c r="U25" s="1766"/>
      <c r="V25" s="1765" t="s">
        <v>1041</v>
      </c>
      <c r="W25" s="1764"/>
      <c r="X25" s="1767"/>
    </row>
    <row r="26" spans="1:24">
      <c r="A26" s="1906" t="s">
        <v>751</v>
      </c>
      <c r="B26" s="1809"/>
      <c r="C26" s="1809"/>
      <c r="D26" s="1809"/>
      <c r="E26" s="1809"/>
      <c r="F26" s="1809"/>
      <c r="G26" s="1809"/>
      <c r="H26" s="1809"/>
      <c r="I26" s="1809"/>
      <c r="J26" s="1809"/>
      <c r="K26" s="1809"/>
      <c r="L26" s="1810"/>
      <c r="M26" s="1420" t="s">
        <v>551</v>
      </c>
      <c r="N26" s="1420"/>
      <c r="O26" s="1420"/>
      <c r="P26" s="1420"/>
      <c r="Q26" s="721"/>
      <c r="R26" s="721"/>
      <c r="S26" s="722"/>
      <c r="T26" s="723"/>
      <c r="U26" s="723"/>
      <c r="V26" s="1812">
        <f>V27</f>
        <v>9000000</v>
      </c>
      <c r="W26" s="1516"/>
      <c r="X26" s="1517"/>
    </row>
    <row r="27" spans="1:24">
      <c r="A27" s="1906" t="s">
        <v>752</v>
      </c>
      <c r="B27" s="1809"/>
      <c r="C27" s="1809"/>
      <c r="D27" s="1809"/>
      <c r="E27" s="1809"/>
      <c r="F27" s="1809"/>
      <c r="G27" s="1809"/>
      <c r="H27" s="1809"/>
      <c r="I27" s="1809"/>
      <c r="J27" s="1809"/>
      <c r="K27" s="1809"/>
      <c r="L27" s="1810"/>
      <c r="M27" s="724" t="s">
        <v>23</v>
      </c>
      <c r="N27" s="725"/>
      <c r="O27" s="725"/>
      <c r="P27" s="726"/>
      <c r="Q27" s="724"/>
      <c r="R27" s="724"/>
      <c r="S27" s="726"/>
      <c r="T27" s="725"/>
      <c r="U27" s="725"/>
      <c r="V27" s="1805">
        <f>V28+V42</f>
        <v>9000000</v>
      </c>
      <c r="W27" s="1806"/>
      <c r="X27" s="1807"/>
    </row>
    <row r="28" spans="1:24">
      <c r="A28" s="1907" t="s">
        <v>618</v>
      </c>
      <c r="B28" s="1803"/>
      <c r="C28" s="1803"/>
      <c r="D28" s="1803"/>
      <c r="E28" s="1803"/>
      <c r="F28" s="1803"/>
      <c r="G28" s="1803"/>
      <c r="H28" s="1803"/>
      <c r="I28" s="1803"/>
      <c r="J28" s="1803"/>
      <c r="K28" s="1803"/>
      <c r="L28" s="1804"/>
      <c r="M28" s="724" t="s">
        <v>24</v>
      </c>
      <c r="N28" s="725"/>
      <c r="O28" s="725"/>
      <c r="P28" s="726"/>
      <c r="Q28" s="724"/>
      <c r="R28" s="724"/>
      <c r="S28" s="726"/>
      <c r="T28" s="725"/>
      <c r="U28" s="725"/>
      <c r="V28" s="1805">
        <f>V29</f>
        <v>9000000</v>
      </c>
      <c r="W28" s="1806"/>
      <c r="X28" s="1807"/>
    </row>
    <row r="29" spans="1:24">
      <c r="A29" s="1907" t="s">
        <v>619</v>
      </c>
      <c r="B29" s="1803"/>
      <c r="C29" s="1803"/>
      <c r="D29" s="1803"/>
      <c r="E29" s="1803"/>
      <c r="F29" s="1803"/>
      <c r="G29" s="1803"/>
      <c r="H29" s="1803"/>
      <c r="I29" s="1803"/>
      <c r="J29" s="1803"/>
      <c r="K29" s="1803"/>
      <c r="L29" s="1804"/>
      <c r="M29" s="724" t="s">
        <v>204</v>
      </c>
      <c r="N29" s="725"/>
      <c r="O29" s="725"/>
      <c r="P29" s="726"/>
      <c r="Q29" s="724"/>
      <c r="R29" s="724"/>
      <c r="S29" s="726"/>
      <c r="T29" s="725"/>
      <c r="U29" s="725"/>
      <c r="V29" s="1805">
        <f>V30</f>
        <v>9000000</v>
      </c>
      <c r="W29" s="1806"/>
      <c r="X29" s="1807"/>
    </row>
    <row r="30" spans="1:24" ht="26.25" customHeight="1">
      <c r="A30" s="1907" t="s">
        <v>620</v>
      </c>
      <c r="B30" s="1803"/>
      <c r="C30" s="1803"/>
      <c r="D30" s="1803"/>
      <c r="E30" s="1803"/>
      <c r="F30" s="1803"/>
      <c r="G30" s="1803"/>
      <c r="H30" s="1803"/>
      <c r="I30" s="1803"/>
      <c r="J30" s="1803"/>
      <c r="K30" s="1803"/>
      <c r="L30" s="1804"/>
      <c r="M30" s="1908" t="s">
        <v>411</v>
      </c>
      <c r="N30" s="1909"/>
      <c r="O30" s="1909"/>
      <c r="P30" s="1910"/>
      <c r="Q30" s="685"/>
      <c r="R30" s="327"/>
      <c r="S30" s="340"/>
      <c r="T30" s="328"/>
      <c r="U30" s="328"/>
      <c r="V30" s="1911">
        <f>V31+V32+V33+V34+V35</f>
        <v>9000000</v>
      </c>
      <c r="W30" s="1912"/>
      <c r="X30" s="1913"/>
    </row>
    <row r="31" spans="1:24">
      <c r="A31" s="698"/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40"/>
      <c r="M31" s="727" t="s">
        <v>412</v>
      </c>
      <c r="N31" s="328"/>
      <c r="O31" s="328"/>
      <c r="P31" s="340"/>
      <c r="Q31" s="685">
        <v>3</v>
      </c>
      <c r="R31" s="1901" t="s">
        <v>434</v>
      </c>
      <c r="S31" s="1902"/>
      <c r="T31" s="1689">
        <v>100000</v>
      </c>
      <c r="U31" s="1690"/>
      <c r="V31" s="1903">
        <f>T31*Q31</f>
        <v>300000</v>
      </c>
      <c r="W31" s="1904"/>
      <c r="X31" s="1905"/>
    </row>
    <row r="32" spans="1:24">
      <c r="A32" s="698"/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40"/>
      <c r="M32" s="727" t="s">
        <v>413</v>
      </c>
      <c r="N32" s="328"/>
      <c r="O32" s="328"/>
      <c r="P32" s="340"/>
      <c r="Q32" s="685">
        <v>7</v>
      </c>
      <c r="R32" s="1901" t="s">
        <v>434</v>
      </c>
      <c r="S32" s="1902"/>
      <c r="T32" s="1689">
        <v>300000</v>
      </c>
      <c r="U32" s="1690"/>
      <c r="V32" s="1903">
        <f>T32*Q32</f>
        <v>2100000</v>
      </c>
      <c r="W32" s="1904"/>
      <c r="X32" s="1905"/>
    </row>
    <row r="33" spans="1:28">
      <c r="A33" s="698"/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40"/>
      <c r="M33" s="727" t="s">
        <v>414</v>
      </c>
      <c r="N33" s="328"/>
      <c r="O33" s="328"/>
      <c r="P33" s="340"/>
      <c r="Q33" s="685">
        <v>12</v>
      </c>
      <c r="R33" s="1901" t="s">
        <v>434</v>
      </c>
      <c r="S33" s="1902"/>
      <c r="T33" s="1689">
        <v>250000</v>
      </c>
      <c r="U33" s="1690"/>
      <c r="V33" s="1903">
        <f>T33*Q33</f>
        <v>3000000</v>
      </c>
      <c r="W33" s="1904"/>
      <c r="X33" s="1905"/>
    </row>
    <row r="34" spans="1:28">
      <c r="A34" s="698"/>
      <c r="B34" s="728"/>
      <c r="C34" s="328"/>
      <c r="D34" s="728"/>
      <c r="E34" s="728"/>
      <c r="F34" s="728"/>
      <c r="G34" s="728"/>
      <c r="H34" s="728"/>
      <c r="I34" s="328"/>
      <c r="J34" s="328"/>
      <c r="K34" s="728"/>
      <c r="L34" s="729"/>
      <c r="M34" s="727" t="s">
        <v>415</v>
      </c>
      <c r="N34" s="328"/>
      <c r="O34" s="328"/>
      <c r="P34" s="340"/>
      <c r="Q34" s="685">
        <v>12</v>
      </c>
      <c r="R34" s="1901" t="s">
        <v>434</v>
      </c>
      <c r="S34" s="1902"/>
      <c r="T34" s="1346">
        <v>300000</v>
      </c>
      <c r="U34" s="1917"/>
      <c r="V34" s="1903">
        <f>T34*Q34</f>
        <v>3600000</v>
      </c>
      <c r="W34" s="1904"/>
      <c r="X34" s="1905"/>
    </row>
    <row r="35" spans="1:28">
      <c r="A35" s="698"/>
      <c r="B35" s="730"/>
      <c r="C35" s="703"/>
      <c r="D35" s="730"/>
      <c r="E35" s="730"/>
      <c r="F35" s="730"/>
      <c r="G35" s="730"/>
      <c r="H35" s="730"/>
      <c r="I35" s="703"/>
      <c r="J35" s="703"/>
      <c r="K35" s="728"/>
      <c r="L35" s="729"/>
      <c r="M35" s="727"/>
      <c r="N35" s="328"/>
      <c r="O35" s="328"/>
      <c r="P35" s="340"/>
      <c r="Q35" s="327"/>
      <c r="R35" s="1901"/>
      <c r="S35" s="1902"/>
      <c r="T35" s="328"/>
      <c r="U35" s="328"/>
      <c r="V35" s="1346"/>
      <c r="W35" s="1347"/>
      <c r="X35" s="1348"/>
    </row>
    <row r="36" spans="1:28">
      <c r="A36" s="698"/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40"/>
      <c r="M36" s="727"/>
      <c r="N36" s="328"/>
      <c r="O36" s="328"/>
      <c r="P36" s="340"/>
      <c r="Q36" s="327"/>
      <c r="R36" s="1901"/>
      <c r="S36" s="1902"/>
      <c r="T36" s="1689"/>
      <c r="U36" s="1690"/>
      <c r="V36" s="1914"/>
      <c r="W36" s="1915"/>
      <c r="X36" s="1916"/>
    </row>
    <row r="37" spans="1:28">
      <c r="A37" s="698"/>
      <c r="B37" s="728"/>
      <c r="C37" s="328"/>
      <c r="D37" s="728"/>
      <c r="E37" s="728"/>
      <c r="F37" s="728"/>
      <c r="G37" s="728"/>
      <c r="H37" s="728"/>
      <c r="I37" s="328"/>
      <c r="J37" s="328"/>
      <c r="K37" s="728"/>
      <c r="L37" s="729"/>
      <c r="M37" s="327"/>
      <c r="N37" s="328"/>
      <c r="O37" s="328"/>
      <c r="P37" s="340"/>
      <c r="Q37" s="327"/>
      <c r="R37" s="327"/>
      <c r="S37" s="340"/>
      <c r="T37" s="328"/>
      <c r="U37" s="328"/>
      <c r="V37" s="1914"/>
      <c r="W37" s="1915"/>
      <c r="X37" s="1916"/>
    </row>
    <row r="38" spans="1:28">
      <c r="A38" s="698"/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40"/>
      <c r="M38" s="727"/>
      <c r="N38" s="328"/>
      <c r="O38" s="328"/>
      <c r="P38" s="340"/>
      <c r="Q38" s="327"/>
      <c r="R38" s="327"/>
      <c r="S38" s="340"/>
      <c r="T38" s="1689"/>
      <c r="U38" s="1690"/>
      <c r="V38" s="1914"/>
      <c r="W38" s="1759"/>
      <c r="X38" s="1760"/>
    </row>
    <row r="39" spans="1:28">
      <c r="A39" s="698"/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40"/>
      <c r="M39" s="727"/>
      <c r="N39" s="328"/>
      <c r="O39" s="328"/>
      <c r="P39" s="340"/>
      <c r="Q39" s="327"/>
      <c r="R39" s="327"/>
      <c r="S39" s="340"/>
      <c r="T39" s="328"/>
      <c r="U39" s="328"/>
      <c r="V39" s="327"/>
      <c r="W39" s="328"/>
      <c r="X39" s="329"/>
    </row>
    <row r="40" spans="1:28">
      <c r="A40" s="698"/>
      <c r="B40" s="328"/>
      <c r="C40" s="328"/>
      <c r="D40" s="328"/>
      <c r="E40" s="328"/>
      <c r="F40" s="328"/>
      <c r="G40" s="328"/>
      <c r="H40" s="328"/>
      <c r="I40" s="328"/>
      <c r="J40" s="328"/>
      <c r="K40" s="328"/>
      <c r="L40" s="340"/>
      <c r="M40" s="727"/>
      <c r="N40" s="328"/>
      <c r="O40" s="328"/>
      <c r="P40" s="340"/>
      <c r="Q40" s="327"/>
      <c r="R40" s="327"/>
      <c r="S40" s="340"/>
      <c r="T40" s="328"/>
      <c r="U40" s="328"/>
      <c r="V40" s="327"/>
      <c r="W40" s="328"/>
      <c r="X40" s="329"/>
    </row>
    <row r="41" spans="1:28">
      <c r="A41" s="698"/>
      <c r="B41" s="728"/>
      <c r="C41" s="328"/>
      <c r="D41" s="728"/>
      <c r="E41" s="728"/>
      <c r="F41" s="728"/>
      <c r="G41" s="728"/>
      <c r="H41" s="728"/>
      <c r="I41" s="328"/>
      <c r="J41" s="328"/>
      <c r="K41" s="728"/>
      <c r="L41" s="729"/>
      <c r="M41" s="727"/>
      <c r="N41" s="328"/>
      <c r="O41" s="328"/>
      <c r="P41" s="340"/>
      <c r="Q41" s="327"/>
      <c r="R41" s="327"/>
      <c r="S41" s="340"/>
      <c r="T41" s="328"/>
      <c r="U41" s="328"/>
      <c r="V41" s="327"/>
      <c r="W41" s="328"/>
      <c r="X41" s="329"/>
    </row>
    <row r="42" spans="1:28">
      <c r="A42" s="731"/>
      <c r="B42" s="732"/>
      <c r="C42" s="725"/>
      <c r="D42" s="732"/>
      <c r="E42" s="732"/>
      <c r="F42" s="732"/>
      <c r="G42" s="732"/>
      <c r="H42" s="732"/>
      <c r="I42" s="725"/>
      <c r="J42" s="725"/>
      <c r="K42" s="328"/>
      <c r="L42" s="340"/>
      <c r="M42" s="733"/>
      <c r="N42" s="328"/>
      <c r="O42" s="328"/>
      <c r="P42" s="340"/>
      <c r="Q42" s="327"/>
      <c r="R42" s="327"/>
      <c r="S42" s="340"/>
      <c r="T42" s="328"/>
      <c r="U42" s="328"/>
      <c r="V42" s="1901"/>
      <c r="W42" s="1759"/>
      <c r="X42" s="1760"/>
    </row>
    <row r="43" spans="1:28">
      <c r="A43" s="731"/>
      <c r="B43" s="732"/>
      <c r="C43" s="725"/>
      <c r="D43" s="732"/>
      <c r="E43" s="732"/>
      <c r="F43" s="732"/>
      <c r="G43" s="732"/>
      <c r="H43" s="732"/>
      <c r="I43" s="725"/>
      <c r="J43" s="725"/>
      <c r="K43" s="732"/>
      <c r="L43" s="340"/>
      <c r="M43" s="733"/>
      <c r="N43" s="328"/>
      <c r="O43" s="328"/>
      <c r="P43" s="340"/>
      <c r="Q43" s="327"/>
      <c r="R43" s="327"/>
      <c r="S43" s="340"/>
      <c r="T43" s="328"/>
      <c r="U43" s="328"/>
      <c r="V43" s="327"/>
      <c r="W43" s="328"/>
      <c r="X43" s="329"/>
    </row>
    <row r="44" spans="1:28">
      <c r="A44" s="734"/>
      <c r="B44" s="735"/>
      <c r="C44" s="711"/>
      <c r="D44" s="735"/>
      <c r="E44" s="735"/>
      <c r="F44" s="735"/>
      <c r="G44" s="735"/>
      <c r="H44" s="735"/>
      <c r="I44" s="711"/>
      <c r="J44" s="711"/>
      <c r="K44" s="728"/>
      <c r="L44" s="729"/>
      <c r="M44" s="710"/>
      <c r="N44" s="328"/>
      <c r="O44" s="328"/>
      <c r="P44" s="340"/>
      <c r="Q44" s="327"/>
      <c r="R44" s="327"/>
      <c r="S44" s="340"/>
      <c r="T44" s="1689"/>
      <c r="U44" s="1690"/>
      <c r="V44" s="1689"/>
      <c r="W44" s="1918"/>
      <c r="X44" s="1919"/>
    </row>
    <row r="45" spans="1:28">
      <c r="A45" s="698"/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40"/>
      <c r="M45" s="327"/>
      <c r="N45" s="328"/>
      <c r="O45" s="328"/>
      <c r="P45" s="340"/>
      <c r="Q45" s="327"/>
      <c r="R45" s="327"/>
      <c r="S45" s="340"/>
      <c r="T45" s="328"/>
      <c r="U45" s="328"/>
      <c r="V45" s="327"/>
      <c r="W45" s="328"/>
      <c r="X45" s="329"/>
    </row>
    <row r="46" spans="1:28">
      <c r="A46" s="1920" t="s">
        <v>110</v>
      </c>
      <c r="B46" s="1921"/>
      <c r="C46" s="1921"/>
      <c r="D46" s="1921"/>
      <c r="E46" s="1921"/>
      <c r="F46" s="1921"/>
      <c r="G46" s="1921"/>
      <c r="H46" s="1921"/>
      <c r="I46" s="1921"/>
      <c r="J46" s="1921"/>
      <c r="K46" s="1921"/>
      <c r="L46" s="1921"/>
      <c r="M46" s="1921"/>
      <c r="N46" s="1921"/>
      <c r="O46" s="1921"/>
      <c r="P46" s="1921"/>
      <c r="Q46" s="1921"/>
      <c r="R46" s="1921"/>
      <c r="S46" s="1921"/>
      <c r="T46" s="1921"/>
      <c r="U46" s="1922"/>
      <c r="V46" s="1923">
        <f>SUM(V31:X35 )</f>
        <v>9000000</v>
      </c>
      <c r="W46" s="1924"/>
      <c r="X46" s="1925"/>
      <c r="AB46" s="79">
        <f>V46/4</f>
        <v>2250000</v>
      </c>
    </row>
    <row r="47" spans="1:28">
      <c r="A47" s="897" t="s">
        <v>1035</v>
      </c>
      <c r="B47" s="898"/>
      <c r="C47" s="898"/>
      <c r="D47" s="898"/>
      <c r="E47" s="898"/>
      <c r="F47" s="898"/>
      <c r="G47" s="898"/>
      <c r="H47" s="898"/>
      <c r="I47" s="898"/>
      <c r="J47" s="898"/>
      <c r="K47" s="898"/>
      <c r="L47" s="898"/>
      <c r="M47" s="898"/>
      <c r="N47" s="898"/>
      <c r="O47" s="898"/>
      <c r="P47" s="898"/>
      <c r="Q47" s="898"/>
      <c r="R47" s="1926"/>
      <c r="S47" s="1921"/>
      <c r="T47" s="1921"/>
      <c r="U47" s="1921"/>
      <c r="V47" s="1921"/>
      <c r="W47" s="1921"/>
      <c r="X47" s="1927"/>
    </row>
    <row r="48" spans="1:28">
      <c r="A48" s="698" t="s">
        <v>106</v>
      </c>
      <c r="B48" s="328"/>
      <c r="C48" s="328"/>
      <c r="D48" s="328"/>
      <c r="E48" s="328" t="s">
        <v>6</v>
      </c>
      <c r="F48" s="328" t="s">
        <v>17</v>
      </c>
      <c r="G48" s="1771">
        <v>2000000</v>
      </c>
      <c r="H48" s="1771"/>
      <c r="I48" s="1771"/>
      <c r="J48" s="1771"/>
      <c r="K48" s="1771"/>
      <c r="L48" s="1771"/>
      <c r="M48" s="328"/>
      <c r="N48" s="328"/>
      <c r="O48" s="328"/>
      <c r="P48" s="328"/>
      <c r="Q48" s="328"/>
      <c r="R48" s="1901" t="s">
        <v>584</v>
      </c>
      <c r="S48" s="1759"/>
      <c r="T48" s="1759"/>
      <c r="U48" s="1759"/>
      <c r="V48" s="1759"/>
      <c r="W48" s="1759"/>
      <c r="X48" s="1760"/>
    </row>
    <row r="49" spans="1:28">
      <c r="A49" s="698" t="s">
        <v>107</v>
      </c>
      <c r="B49" s="328"/>
      <c r="C49" s="328"/>
      <c r="D49" s="328"/>
      <c r="E49" s="328" t="s">
        <v>6</v>
      </c>
      <c r="F49" s="328" t="s">
        <v>17</v>
      </c>
      <c r="G49" s="1771">
        <v>2500000</v>
      </c>
      <c r="H49" s="1771"/>
      <c r="I49" s="1771"/>
      <c r="J49" s="1771"/>
      <c r="K49" s="1771"/>
      <c r="L49" s="1771"/>
      <c r="M49" s="328"/>
      <c r="N49" s="328"/>
      <c r="O49" s="328"/>
      <c r="P49" s="328"/>
      <c r="Q49" s="328"/>
      <c r="R49" s="1901" t="s">
        <v>585</v>
      </c>
      <c r="S49" s="1759"/>
      <c r="T49" s="1759"/>
      <c r="U49" s="1759"/>
      <c r="V49" s="1759"/>
      <c r="W49" s="1759"/>
      <c r="X49" s="1760"/>
    </row>
    <row r="50" spans="1:28">
      <c r="A50" s="698" t="s">
        <v>108</v>
      </c>
      <c r="B50" s="328"/>
      <c r="C50" s="328"/>
      <c r="D50" s="328"/>
      <c r="E50" s="328" t="s">
        <v>6</v>
      </c>
      <c r="F50" s="328" t="s">
        <v>17</v>
      </c>
      <c r="G50" s="1771">
        <v>2500000</v>
      </c>
      <c r="H50" s="1771"/>
      <c r="I50" s="1771"/>
      <c r="J50" s="1771"/>
      <c r="K50" s="1771"/>
      <c r="L50" s="1771"/>
      <c r="M50" s="328"/>
      <c r="N50" s="328"/>
      <c r="O50" s="328"/>
      <c r="P50" s="328"/>
      <c r="Q50" s="328"/>
      <c r="R50" s="327"/>
      <c r="S50" s="328"/>
      <c r="T50" s="686"/>
      <c r="U50" s="686"/>
      <c r="V50" s="686"/>
      <c r="W50" s="686"/>
      <c r="X50" s="329"/>
    </row>
    <row r="51" spans="1:28">
      <c r="A51" s="698" t="s">
        <v>109</v>
      </c>
      <c r="B51" s="328"/>
      <c r="C51" s="328"/>
      <c r="D51" s="328"/>
      <c r="E51" s="328" t="s">
        <v>6</v>
      </c>
      <c r="F51" s="328" t="s">
        <v>17</v>
      </c>
      <c r="G51" s="1928">
        <v>2000000</v>
      </c>
      <c r="H51" s="1928"/>
      <c r="I51" s="1928"/>
      <c r="J51" s="1928"/>
      <c r="K51" s="1928"/>
      <c r="L51" s="1928"/>
      <c r="M51" s="328"/>
      <c r="N51" s="328"/>
      <c r="O51" s="328"/>
      <c r="P51" s="328"/>
      <c r="Q51" s="328"/>
      <c r="R51" s="327"/>
      <c r="S51" s="328"/>
      <c r="T51" s="328"/>
      <c r="U51" s="328"/>
      <c r="V51" s="328"/>
      <c r="W51" s="328"/>
      <c r="X51" s="329"/>
      <c r="AB51" s="332"/>
    </row>
    <row r="52" spans="1:28">
      <c r="A52" s="698" t="s">
        <v>15</v>
      </c>
      <c r="B52" s="328"/>
      <c r="C52" s="328"/>
      <c r="D52" s="328"/>
      <c r="E52" s="328" t="s">
        <v>6</v>
      </c>
      <c r="F52" s="328" t="s">
        <v>17</v>
      </c>
      <c r="G52" s="1771">
        <f>G48+G49+G50+G51</f>
        <v>9000000</v>
      </c>
      <c r="H52" s="1771"/>
      <c r="I52" s="1771"/>
      <c r="J52" s="1771"/>
      <c r="K52" s="1771"/>
      <c r="L52" s="1771"/>
      <c r="M52" s="328"/>
      <c r="N52" s="328"/>
      <c r="O52" s="328"/>
      <c r="P52" s="328"/>
      <c r="Q52" s="328"/>
      <c r="R52" s="1846" t="s">
        <v>849</v>
      </c>
      <c r="S52" s="1847"/>
      <c r="T52" s="1847"/>
      <c r="U52" s="1847"/>
      <c r="V52" s="1847"/>
      <c r="W52" s="1847"/>
      <c r="X52" s="1848"/>
    </row>
    <row r="53" spans="1:28">
      <c r="A53" s="69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1773" t="s">
        <v>914</v>
      </c>
      <c r="S53" s="1759"/>
      <c r="T53" s="1759"/>
      <c r="U53" s="1759"/>
      <c r="V53" s="1759"/>
      <c r="W53" s="1759"/>
      <c r="X53" s="1760"/>
    </row>
    <row r="54" spans="1:28">
      <c r="A54" s="698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715"/>
      <c r="R54" s="1792"/>
      <c r="S54" s="1258"/>
      <c r="T54" s="1258"/>
      <c r="U54" s="1258"/>
      <c r="V54" s="1258"/>
      <c r="W54" s="1258"/>
      <c r="X54" s="1259"/>
    </row>
    <row r="55" spans="1:28">
      <c r="A55" s="1763" t="s">
        <v>1034</v>
      </c>
      <c r="B55" s="1764"/>
      <c r="C55" s="1764"/>
      <c r="D55" s="1764"/>
      <c r="E55" s="1764"/>
      <c r="F55" s="1764"/>
      <c r="G55" s="1764"/>
      <c r="H55" s="1764"/>
      <c r="I55" s="1764"/>
      <c r="J55" s="1764"/>
      <c r="K55" s="1764"/>
      <c r="L55" s="1764"/>
      <c r="M55" s="1764"/>
      <c r="N55" s="1764"/>
      <c r="O55" s="1764"/>
      <c r="P55" s="1764"/>
      <c r="Q55" s="715"/>
      <c r="R55" s="1773" t="s">
        <v>921</v>
      </c>
      <c r="S55" s="1759"/>
      <c r="T55" s="1759"/>
      <c r="U55" s="1759"/>
      <c r="V55" s="1759"/>
      <c r="W55" s="1759"/>
      <c r="X55" s="1760"/>
    </row>
    <row r="56" spans="1:28">
      <c r="A56" s="736"/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328"/>
      <c r="R56" s="685"/>
      <c r="S56" s="686"/>
      <c r="T56" s="686"/>
      <c r="U56" s="686"/>
      <c r="V56" s="686"/>
      <c r="W56" s="686"/>
      <c r="X56" s="687"/>
    </row>
    <row r="57" spans="1:28">
      <c r="A57" s="698">
        <v>1</v>
      </c>
      <c r="B57" s="328" t="s">
        <v>460</v>
      </c>
      <c r="C57" s="394"/>
      <c r="D57" s="328"/>
      <c r="E57" s="328"/>
      <c r="F57" s="328"/>
      <c r="G57" s="328"/>
      <c r="H57" s="328"/>
      <c r="I57" s="328"/>
      <c r="J57" s="328"/>
      <c r="K57" s="328" t="s">
        <v>193</v>
      </c>
      <c r="L57" s="328"/>
      <c r="M57" s="328"/>
      <c r="N57" s="328"/>
      <c r="O57" s="328"/>
      <c r="P57" s="328"/>
      <c r="Q57" s="328"/>
      <c r="R57" s="1901" t="s">
        <v>155</v>
      </c>
      <c r="S57" s="1759"/>
      <c r="T57" s="1759"/>
      <c r="U57" s="1759"/>
      <c r="V57" s="1759"/>
      <c r="W57" s="1759"/>
      <c r="X57" s="1760"/>
    </row>
    <row r="58" spans="1:28">
      <c r="A58" s="698"/>
      <c r="B58" t="s">
        <v>1019</v>
      </c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328"/>
      <c r="N58" s="328"/>
      <c r="O58" s="328"/>
      <c r="P58" s="328"/>
      <c r="Q58" s="328"/>
      <c r="R58" s="1901" t="s">
        <v>114</v>
      </c>
      <c r="S58" s="1759"/>
      <c r="T58" s="1759"/>
      <c r="U58" s="1759"/>
      <c r="V58" s="1759"/>
      <c r="W58" s="1759"/>
      <c r="X58" s="1760"/>
    </row>
    <row r="59" spans="1:28">
      <c r="A59" s="698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328"/>
      <c r="N59" s="328"/>
      <c r="O59" s="328"/>
      <c r="P59" s="328"/>
      <c r="Q59" s="328"/>
      <c r="R59" s="327"/>
      <c r="S59" s="328"/>
      <c r="T59" s="328"/>
      <c r="U59" s="328"/>
      <c r="V59" s="328"/>
      <c r="W59" s="328"/>
      <c r="X59" s="329"/>
    </row>
    <row r="60" spans="1:28">
      <c r="A60" s="698">
        <v>2</v>
      </c>
      <c r="B60" s="328" t="s">
        <v>194</v>
      </c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28" t="s">
        <v>195</v>
      </c>
      <c r="O60" s="328"/>
      <c r="P60" s="328"/>
      <c r="Q60" s="328"/>
      <c r="R60" s="327"/>
      <c r="S60" s="328"/>
      <c r="T60" s="328"/>
      <c r="U60" s="328"/>
      <c r="V60" s="328"/>
      <c r="W60" s="328"/>
      <c r="X60" s="329"/>
    </row>
    <row r="61" spans="1:28">
      <c r="A61" s="698"/>
      <c r="B61" t="s">
        <v>1019</v>
      </c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7"/>
      <c r="S61" s="328"/>
      <c r="T61" s="328"/>
      <c r="U61" s="328"/>
      <c r="V61" s="328"/>
      <c r="W61" s="328"/>
      <c r="X61" s="329"/>
    </row>
    <row r="62" spans="1:28">
      <c r="A62" s="698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328"/>
      <c r="N62" s="328"/>
      <c r="O62" s="328"/>
      <c r="P62" s="328"/>
      <c r="Q62" s="328"/>
      <c r="R62" s="1846" t="s">
        <v>115</v>
      </c>
      <c r="S62" s="1847"/>
      <c r="T62" s="1847"/>
      <c r="U62" s="1847"/>
      <c r="V62" s="1847"/>
      <c r="W62" s="1847"/>
      <c r="X62" s="1848"/>
    </row>
    <row r="63" spans="1:28">
      <c r="A63" s="698"/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1901" t="s">
        <v>116</v>
      </c>
      <c r="S63" s="1759"/>
      <c r="T63" s="1759"/>
      <c r="U63" s="1759"/>
      <c r="V63" s="1759"/>
      <c r="W63" s="1759"/>
      <c r="X63" s="1760"/>
    </row>
    <row r="64" spans="1:28" ht="15.75" thickBot="1">
      <c r="A64" s="737"/>
      <c r="B64" s="738"/>
      <c r="C64" s="738"/>
      <c r="D64" s="738"/>
      <c r="E64" s="738"/>
      <c r="F64" s="738"/>
      <c r="G64" s="738"/>
      <c r="H64" s="738"/>
      <c r="I64" s="738"/>
      <c r="J64" s="738"/>
      <c r="K64" s="738"/>
      <c r="L64" s="738"/>
      <c r="M64" s="738"/>
      <c r="N64" s="738"/>
      <c r="O64" s="738"/>
      <c r="P64" s="738"/>
      <c r="Q64" s="738"/>
      <c r="R64" s="739"/>
      <c r="S64" s="738"/>
      <c r="T64" s="738"/>
      <c r="U64" s="738"/>
      <c r="V64" s="738"/>
      <c r="W64" s="738"/>
      <c r="X64" s="740"/>
    </row>
  </sheetData>
  <mergeCells count="98">
    <mergeCell ref="V37:X37"/>
    <mergeCell ref="A55:P55"/>
    <mergeCell ref="R49:X49"/>
    <mergeCell ref="U1:U2"/>
    <mergeCell ref="V1:V2"/>
    <mergeCell ref="W4:X4"/>
    <mergeCell ref="A5:V5"/>
    <mergeCell ref="A6:V6"/>
    <mergeCell ref="P1:P2"/>
    <mergeCell ref="Q1:Q2"/>
    <mergeCell ref="R1:R2"/>
    <mergeCell ref="S1:S2"/>
    <mergeCell ref="T1:T2"/>
    <mergeCell ref="A26:L26"/>
    <mergeCell ref="M26:P26"/>
    <mergeCell ref="V26:X26"/>
    <mergeCell ref="R47:X47"/>
    <mergeCell ref="G49:L49"/>
    <mergeCell ref="G50:L50"/>
    <mergeCell ref="G51:L51"/>
    <mergeCell ref="G52:L52"/>
    <mergeCell ref="R52:X52"/>
    <mergeCell ref="T38:U38"/>
    <mergeCell ref="V38:X38"/>
    <mergeCell ref="R63:X63"/>
    <mergeCell ref="R53:X53"/>
    <mergeCell ref="R54:X54"/>
    <mergeCell ref="R55:X55"/>
    <mergeCell ref="R57:X57"/>
    <mergeCell ref="R58:X58"/>
    <mergeCell ref="V42:X42"/>
    <mergeCell ref="T44:U44"/>
    <mergeCell ref="V44:X44"/>
    <mergeCell ref="A46:U46"/>
    <mergeCell ref="V46:X46"/>
    <mergeCell ref="R62:X62"/>
    <mergeCell ref="G48:L48"/>
    <mergeCell ref="R48:X48"/>
    <mergeCell ref="R36:S36"/>
    <mergeCell ref="T36:U36"/>
    <mergeCell ref="V36:X36"/>
    <mergeCell ref="R32:S32"/>
    <mergeCell ref="T32:U32"/>
    <mergeCell ref="V32:X32"/>
    <mergeCell ref="R33:S33"/>
    <mergeCell ref="T33:U33"/>
    <mergeCell ref="V33:X33"/>
    <mergeCell ref="R34:S34"/>
    <mergeCell ref="T34:U34"/>
    <mergeCell ref="V34:X34"/>
    <mergeCell ref="R35:S35"/>
    <mergeCell ref="V35:X35"/>
    <mergeCell ref="R31:S31"/>
    <mergeCell ref="T31:U31"/>
    <mergeCell ref="V31:X31"/>
    <mergeCell ref="A27:L27"/>
    <mergeCell ref="V27:X27"/>
    <mergeCell ref="A28:L28"/>
    <mergeCell ref="V28:X28"/>
    <mergeCell ref="A29:L29"/>
    <mergeCell ref="V29:X29"/>
    <mergeCell ref="A30:L30"/>
    <mergeCell ref="M30:P30"/>
    <mergeCell ref="V30:X30"/>
    <mergeCell ref="A25:L25"/>
    <mergeCell ref="M25:P25"/>
    <mergeCell ref="R25:S25"/>
    <mergeCell ref="T25:U25"/>
    <mergeCell ref="V25:X25"/>
    <mergeCell ref="A23:L23"/>
    <mergeCell ref="M23:P24"/>
    <mergeCell ref="Q23:U23"/>
    <mergeCell ref="V23:X23"/>
    <mergeCell ref="A24:L24"/>
    <mergeCell ref="R24:S24"/>
    <mergeCell ref="T24:U24"/>
    <mergeCell ref="V24:X24"/>
    <mergeCell ref="U16:X16"/>
    <mergeCell ref="V17:X17"/>
    <mergeCell ref="U19:X19"/>
    <mergeCell ref="A21:X21"/>
    <mergeCell ref="A22:X22"/>
    <mergeCell ref="U18:X18"/>
    <mergeCell ref="A14:X14"/>
    <mergeCell ref="A15:F15"/>
    <mergeCell ref="I15:T15"/>
    <mergeCell ref="U15:X15"/>
    <mergeCell ref="A1:O2"/>
    <mergeCell ref="W1:X1"/>
    <mergeCell ref="W2:X2"/>
    <mergeCell ref="A3:O4"/>
    <mergeCell ref="P3:P4"/>
    <mergeCell ref="Q3:Q4"/>
    <mergeCell ref="R3:R4"/>
    <mergeCell ref="S3:S4"/>
    <mergeCell ref="T3:T4"/>
    <mergeCell ref="U3:U4"/>
    <mergeCell ref="V3:V4"/>
  </mergeCells>
  <pageMargins left="0.7" right="0.7" top="0.75" bottom="0.75" header="0.3" footer="0.3"/>
  <pageSetup paperSize="5"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67"/>
  <sheetViews>
    <sheetView topLeftCell="A46" workbookViewId="0">
      <selection activeCell="T20" sqref="T20:V20"/>
    </sheetView>
  </sheetViews>
  <sheetFormatPr defaultRowHeight="15"/>
  <cols>
    <col min="1" max="1" width="2.85546875" customWidth="1"/>
    <col min="2" max="2" width="4.140625" customWidth="1"/>
    <col min="3" max="3" width="3.42578125" customWidth="1"/>
    <col min="4" max="4" width="3.5703125" customWidth="1"/>
    <col min="5" max="5" width="2.5703125" customWidth="1"/>
    <col min="6" max="6" width="3.140625" customWidth="1"/>
    <col min="7" max="7" width="3.28515625" customWidth="1"/>
    <col min="8" max="8" width="0.5703125" customWidth="1"/>
    <col min="9" max="10" width="2.42578125" customWidth="1"/>
    <col min="12" max="12" width="5.7109375" customWidth="1"/>
    <col min="13" max="13" width="6.140625" customWidth="1"/>
    <col min="15" max="15" width="7.85546875" customWidth="1"/>
    <col min="17" max="17" width="7.140625" customWidth="1"/>
    <col min="18" max="18" width="7.7109375" customWidth="1"/>
    <col min="19" max="19" width="6.140625" customWidth="1"/>
    <col min="20" max="20" width="8.28515625" customWidth="1"/>
    <col min="21" max="21" width="7.85546875" customWidth="1"/>
    <col min="22" max="22" width="8.140625" customWidth="1"/>
    <col min="25" max="25" width="21.42578125" customWidth="1"/>
    <col min="26" max="26" width="16.28515625" customWidth="1"/>
    <col min="27" max="27" width="4" customWidth="1"/>
  </cols>
  <sheetData>
    <row r="1" spans="1:26">
      <c r="A1" s="1161" t="s">
        <v>0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3"/>
      <c r="U1" s="1167" t="s">
        <v>1</v>
      </c>
      <c r="V1" s="1168"/>
    </row>
    <row r="2" spans="1:26">
      <c r="A2" s="1164"/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165"/>
      <c r="R2" s="1165"/>
      <c r="S2" s="1165"/>
      <c r="T2" s="1166"/>
      <c r="U2" s="195"/>
      <c r="V2" s="2"/>
      <c r="Z2" s="78"/>
    </row>
    <row r="3" spans="1:26">
      <c r="A3" s="1169" t="s">
        <v>2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  <c r="N3" s="1170"/>
      <c r="O3" s="1170"/>
      <c r="P3" s="1170"/>
      <c r="Q3" s="1170"/>
      <c r="R3" s="1170"/>
      <c r="S3" s="1170"/>
      <c r="T3" s="1171"/>
      <c r="U3" s="1147" t="s">
        <v>3</v>
      </c>
      <c r="V3" s="1149"/>
      <c r="Z3" s="78"/>
    </row>
    <row r="4" spans="1:26">
      <c r="A4" s="1172"/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3"/>
      <c r="P4" s="1173"/>
      <c r="Q4" s="1173"/>
      <c r="R4" s="1173"/>
      <c r="S4" s="1173"/>
      <c r="T4" s="1174"/>
      <c r="U4" s="3"/>
      <c r="V4" s="4"/>
      <c r="Z4" s="78"/>
    </row>
    <row r="5" spans="1:26">
      <c r="A5" s="1139" t="s">
        <v>4</v>
      </c>
      <c r="B5" s="1140"/>
      <c r="C5" s="1140"/>
      <c r="D5" s="1140"/>
      <c r="E5" s="1140"/>
      <c r="F5" s="1140"/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1140"/>
      <c r="R5" s="1140"/>
      <c r="S5" s="1140"/>
      <c r="T5" s="1140"/>
      <c r="U5" s="1140"/>
      <c r="V5" s="1141"/>
      <c r="Z5" s="78"/>
    </row>
    <row r="6" spans="1:26">
      <c r="A6" s="1142" t="s">
        <v>527</v>
      </c>
      <c r="B6" s="1143"/>
      <c r="C6" s="1143"/>
      <c r="D6" s="1143"/>
      <c r="E6" s="1143"/>
      <c r="F6" s="1143"/>
      <c r="G6" s="1143"/>
      <c r="H6" s="1143"/>
      <c r="I6" s="1143"/>
      <c r="J6" s="1143"/>
      <c r="K6" s="1143"/>
      <c r="L6" s="1143"/>
      <c r="M6" s="1143"/>
      <c r="N6" s="1143"/>
      <c r="O6" s="1143"/>
      <c r="P6" s="1143"/>
      <c r="Q6" s="1143"/>
      <c r="R6" s="1143"/>
      <c r="S6" s="1143"/>
      <c r="T6" s="1143"/>
      <c r="U6" s="1143"/>
      <c r="V6" s="1144"/>
    </row>
    <row r="7" spans="1:26">
      <c r="A7" s="5" t="s">
        <v>5</v>
      </c>
      <c r="B7" s="195"/>
      <c r="C7" s="195"/>
      <c r="D7" s="195"/>
      <c r="E7" s="195"/>
      <c r="F7" s="195"/>
      <c r="G7" s="195"/>
      <c r="H7" s="195"/>
      <c r="I7" s="195" t="s">
        <v>6</v>
      </c>
      <c r="J7" s="195" t="s">
        <v>528</v>
      </c>
      <c r="K7" s="195"/>
      <c r="L7" s="195"/>
      <c r="M7" s="195" t="s">
        <v>8</v>
      </c>
      <c r="N7" s="195"/>
      <c r="O7" s="195"/>
      <c r="P7" s="195"/>
      <c r="Q7" s="195"/>
      <c r="R7" s="195"/>
      <c r="S7" s="195"/>
      <c r="T7" s="195"/>
      <c r="U7" s="195"/>
      <c r="V7" s="2"/>
    </row>
    <row r="8" spans="1:26">
      <c r="A8" s="5" t="s">
        <v>9</v>
      </c>
      <c r="B8" s="195"/>
      <c r="C8" s="195"/>
      <c r="D8" s="195"/>
      <c r="E8" s="195"/>
      <c r="F8" s="195"/>
      <c r="G8" s="195"/>
      <c r="H8" s="195"/>
      <c r="I8" s="195" t="s">
        <v>6</v>
      </c>
      <c r="J8" s="6" t="s">
        <v>539</v>
      </c>
      <c r="K8" s="6"/>
      <c r="L8" s="195"/>
      <c r="M8" s="195" t="s">
        <v>11</v>
      </c>
      <c r="N8" s="195"/>
      <c r="O8" s="195"/>
      <c r="P8" s="195"/>
      <c r="Q8" s="195"/>
      <c r="R8" s="195"/>
      <c r="S8" s="195"/>
      <c r="T8" s="195"/>
      <c r="U8" s="195"/>
      <c r="V8" s="2"/>
    </row>
    <row r="9" spans="1:26">
      <c r="A9" s="1139" t="s">
        <v>12</v>
      </c>
      <c r="B9" s="1140"/>
      <c r="C9" s="1140"/>
      <c r="D9" s="1140"/>
      <c r="E9" s="1140"/>
      <c r="F9" s="1140"/>
      <c r="G9" s="1140"/>
      <c r="H9" s="1140"/>
      <c r="I9" s="1140"/>
      <c r="J9" s="1140"/>
      <c r="K9" s="1140"/>
      <c r="L9" s="1140"/>
      <c r="M9" s="1140"/>
      <c r="N9" s="1140"/>
      <c r="O9" s="1140"/>
      <c r="P9" s="1140"/>
      <c r="Q9" s="1140"/>
      <c r="R9" s="1140"/>
      <c r="S9" s="1140"/>
      <c r="T9" s="1140"/>
      <c r="U9" s="1140"/>
      <c r="V9" s="1141"/>
    </row>
    <row r="10" spans="1:26">
      <c r="A10" s="1142" t="s">
        <v>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43"/>
      <c r="U10" s="1143"/>
      <c r="V10" s="1144"/>
      <c r="Y10" s="376">
        <f>2650597000+1855908000+289292000+229000000+89271000+152953000+34007000+166000+894772000+185650000</f>
        <v>6381616000</v>
      </c>
    </row>
    <row r="11" spans="1:26">
      <c r="A11" s="1145" t="s">
        <v>13</v>
      </c>
      <c r="B11" s="1146"/>
      <c r="C11" s="1146"/>
      <c r="D11" s="1146"/>
      <c r="E11" s="1146"/>
      <c r="F11" s="1146"/>
      <c r="G11" s="1146"/>
      <c r="H11" s="1146"/>
      <c r="I11" s="1146"/>
      <c r="J11" s="1146"/>
      <c r="K11" s="1147" t="s">
        <v>14</v>
      </c>
      <c r="L11" s="1146"/>
      <c r="M11" s="1146"/>
      <c r="N11" s="1146"/>
      <c r="O11" s="1146"/>
      <c r="P11" s="1146"/>
      <c r="Q11" s="1146"/>
      <c r="R11" s="1146"/>
      <c r="S11" s="1148"/>
      <c r="T11" s="1147" t="s">
        <v>15</v>
      </c>
      <c r="U11" s="1146"/>
      <c r="V11" s="1149"/>
    </row>
    <row r="12" spans="1:26">
      <c r="A12" s="1145" t="s">
        <v>16</v>
      </c>
      <c r="B12" s="1146"/>
      <c r="C12" s="1146"/>
      <c r="D12" s="1146"/>
      <c r="E12" s="1146"/>
      <c r="F12" s="1146"/>
      <c r="G12" s="1146"/>
      <c r="H12" s="1146"/>
      <c r="I12" s="1146"/>
      <c r="J12" s="1146"/>
      <c r="K12" s="7"/>
      <c r="L12" s="8"/>
      <c r="M12" s="8"/>
      <c r="N12" s="8"/>
      <c r="O12" s="8"/>
      <c r="P12" s="8"/>
      <c r="Q12" s="8"/>
      <c r="R12" s="8"/>
      <c r="S12" s="9"/>
      <c r="T12" s="1147" t="s">
        <v>17</v>
      </c>
      <c r="U12" s="1146"/>
      <c r="V12" s="1149"/>
      <c r="Y12" s="78">
        <f>3731019000+10554610000</f>
        <v>14285629000</v>
      </c>
    </row>
    <row r="13" spans="1:26">
      <c r="A13" s="1150">
        <v>1</v>
      </c>
      <c r="B13" s="1151"/>
      <c r="C13" s="1151"/>
      <c r="D13" s="1151"/>
      <c r="E13" s="1151"/>
      <c r="F13" s="1151"/>
      <c r="G13" s="1151"/>
      <c r="H13" s="1151"/>
      <c r="I13" s="1151"/>
      <c r="J13" s="1152"/>
      <c r="K13" s="1153">
        <v>2</v>
      </c>
      <c r="L13" s="1151"/>
      <c r="M13" s="1151"/>
      <c r="N13" s="1151"/>
      <c r="O13" s="1151"/>
      <c r="P13" s="1151"/>
      <c r="Q13" s="1151"/>
      <c r="R13" s="1151"/>
      <c r="S13" s="1152"/>
      <c r="T13" s="1153">
        <v>6</v>
      </c>
      <c r="U13" s="1151"/>
      <c r="V13" s="1154"/>
    </row>
    <row r="14" spans="1:26">
      <c r="A14" s="1155"/>
      <c r="B14" s="1156"/>
      <c r="C14" s="1156"/>
      <c r="D14" s="1156"/>
      <c r="E14" s="1156"/>
      <c r="F14" s="1156"/>
      <c r="G14" s="1156"/>
      <c r="H14" s="1156"/>
      <c r="I14" s="1156"/>
      <c r="J14" s="1157"/>
      <c r="K14" s="10"/>
      <c r="L14" s="11"/>
      <c r="M14" s="11"/>
      <c r="N14" s="11"/>
      <c r="O14" s="11"/>
      <c r="P14" s="11"/>
      <c r="Q14" s="11"/>
      <c r="R14" s="12"/>
      <c r="S14" s="12"/>
      <c r="T14" s="1158"/>
      <c r="U14" s="1159"/>
      <c r="V14" s="1160"/>
      <c r="Y14" s="79">
        <f>T21+10554610000</f>
        <v>14285629000</v>
      </c>
    </row>
    <row r="15" spans="1:26">
      <c r="A15" s="13" t="s">
        <v>540</v>
      </c>
      <c r="B15" s="14"/>
      <c r="C15" s="15"/>
      <c r="D15" s="14"/>
      <c r="E15" s="14"/>
      <c r="F15" s="15"/>
      <c r="G15" s="15"/>
      <c r="H15" s="15"/>
      <c r="I15" s="16"/>
      <c r="J15" s="17"/>
      <c r="K15" s="10" t="s">
        <v>541</v>
      </c>
      <c r="L15" s="11"/>
      <c r="M15" s="11"/>
      <c r="N15" s="11"/>
      <c r="O15" s="11"/>
      <c r="P15" s="11"/>
      <c r="Q15" s="11"/>
      <c r="R15" s="12"/>
      <c r="S15" s="12"/>
      <c r="T15" s="1111">
        <v>3713000000</v>
      </c>
      <c r="U15" s="1128"/>
      <c r="V15" s="1129"/>
    </row>
    <row r="16" spans="1:26">
      <c r="A16" s="13" t="s">
        <v>542</v>
      </c>
      <c r="B16" s="14"/>
      <c r="C16" s="15"/>
      <c r="D16" s="14"/>
      <c r="E16" s="14"/>
      <c r="F16" s="15"/>
      <c r="G16" s="15"/>
      <c r="H16" s="15"/>
      <c r="I16" s="16"/>
      <c r="J16" s="17"/>
      <c r="K16" s="10" t="s">
        <v>543</v>
      </c>
      <c r="L16" s="11"/>
      <c r="M16" s="11"/>
      <c r="N16" s="11"/>
      <c r="O16" s="11"/>
      <c r="P16" s="11"/>
      <c r="Q16" s="11"/>
      <c r="R16" s="12"/>
      <c r="S16" s="12"/>
      <c r="T16" s="1111">
        <f>T15</f>
        <v>3713000000</v>
      </c>
      <c r="U16" s="1128"/>
      <c r="V16" s="1129"/>
    </row>
    <row r="17" spans="1:25">
      <c r="A17" s="13" t="s">
        <v>544</v>
      </c>
      <c r="B17" s="14"/>
      <c r="C17" s="15"/>
      <c r="D17" s="14"/>
      <c r="E17" s="14"/>
      <c r="F17" s="15"/>
      <c r="G17" s="15"/>
      <c r="H17" s="15"/>
      <c r="I17" s="16"/>
      <c r="J17" s="17"/>
      <c r="K17" s="10" t="s">
        <v>545</v>
      </c>
      <c r="L17" s="11"/>
      <c r="M17" s="11"/>
      <c r="N17" s="11"/>
      <c r="O17" s="11"/>
      <c r="P17" s="11"/>
      <c r="Q17" s="11"/>
      <c r="R17" s="12"/>
      <c r="S17" s="12"/>
      <c r="T17" s="1111">
        <f>T16</f>
        <v>3713000000</v>
      </c>
      <c r="U17" s="1128"/>
      <c r="V17" s="1129"/>
    </row>
    <row r="18" spans="1:25">
      <c r="A18" s="13" t="s">
        <v>546</v>
      </c>
      <c r="B18" s="14"/>
      <c r="C18" s="15"/>
      <c r="D18" s="14"/>
      <c r="E18" s="14"/>
      <c r="F18" s="15"/>
      <c r="G18" s="15"/>
      <c r="H18" s="15"/>
      <c r="I18" s="16"/>
      <c r="J18" s="17"/>
      <c r="K18" s="10" t="s">
        <v>547</v>
      </c>
      <c r="L18" s="11"/>
      <c r="M18" s="11"/>
      <c r="N18" s="11"/>
      <c r="O18" s="11"/>
      <c r="P18" s="11"/>
      <c r="Q18" s="11"/>
      <c r="R18" s="12"/>
      <c r="S18" s="12"/>
      <c r="T18" s="1111">
        <f>T17</f>
        <v>3713000000</v>
      </c>
      <c r="U18" s="1128"/>
      <c r="V18" s="1129"/>
    </row>
    <row r="19" spans="1:25">
      <c r="A19" s="13"/>
      <c r="B19" s="14"/>
      <c r="C19" s="15"/>
      <c r="D19" s="14"/>
      <c r="E19" s="14"/>
      <c r="F19" s="15"/>
      <c r="G19" s="15"/>
      <c r="H19" s="15"/>
      <c r="I19" s="16"/>
      <c r="J19" s="17"/>
      <c r="K19" s="10"/>
      <c r="L19" s="11"/>
      <c r="M19" s="11"/>
      <c r="N19" s="11"/>
      <c r="O19" s="11"/>
      <c r="P19" s="11"/>
      <c r="Q19" s="11"/>
      <c r="R19" s="12"/>
      <c r="S19" s="12"/>
      <c r="T19" s="309"/>
      <c r="U19" s="310"/>
      <c r="V19" s="311"/>
      <c r="Y19" s="79">
        <f>T24-10554610000</f>
        <v>50000000</v>
      </c>
    </row>
    <row r="20" spans="1:25">
      <c r="A20" s="1109" t="s">
        <v>548</v>
      </c>
      <c r="B20" s="1105"/>
      <c r="C20" s="1105"/>
      <c r="D20" s="1105"/>
      <c r="E20" s="1105"/>
      <c r="F20" s="1105"/>
      <c r="G20" s="1105"/>
      <c r="H20" s="1105"/>
      <c r="I20" s="1105"/>
      <c r="J20" s="1110"/>
      <c r="K20" s="10" t="s">
        <v>551</v>
      </c>
      <c r="L20" s="11"/>
      <c r="M20" s="11"/>
      <c r="N20" s="11"/>
      <c r="O20" s="11"/>
      <c r="P20" s="11"/>
      <c r="Q20" s="11"/>
      <c r="R20" s="12"/>
      <c r="S20" s="12"/>
      <c r="T20" s="1175">
        <f>T21+T24</f>
        <v>14335629000</v>
      </c>
      <c r="U20" s="1176"/>
      <c r="V20" s="1177"/>
    </row>
    <row r="21" spans="1:25">
      <c r="A21" s="1109" t="s">
        <v>549</v>
      </c>
      <c r="B21" s="1105"/>
      <c r="C21" s="1105"/>
      <c r="D21" s="1105"/>
      <c r="E21" s="1105"/>
      <c r="F21" s="1105"/>
      <c r="G21" s="1105"/>
      <c r="H21" s="1105"/>
      <c r="I21" s="1105"/>
      <c r="J21" s="1110"/>
      <c r="K21" s="10" t="s">
        <v>20</v>
      </c>
      <c r="L21" s="11"/>
      <c r="M21" s="11"/>
      <c r="N21" s="11"/>
      <c r="O21" s="11"/>
      <c r="P21" s="11"/>
      <c r="Q21" s="11"/>
      <c r="R21" s="12"/>
      <c r="S21" s="12"/>
      <c r="T21" s="1111">
        <v>3731019000</v>
      </c>
      <c r="U21" s="1128"/>
      <c r="V21" s="1129"/>
    </row>
    <row r="22" spans="1:25">
      <c r="A22" s="1109" t="s">
        <v>550</v>
      </c>
      <c r="B22" s="1105"/>
      <c r="C22" s="1105"/>
      <c r="D22" s="1105"/>
      <c r="E22" s="1105"/>
      <c r="F22" s="1105"/>
      <c r="G22" s="1105"/>
      <c r="H22" s="1105"/>
      <c r="I22" s="1105"/>
      <c r="J22" s="1110"/>
      <c r="K22" s="10" t="s">
        <v>22</v>
      </c>
      <c r="L22" s="11"/>
      <c r="M22" s="11"/>
      <c r="N22" s="11"/>
      <c r="O22" s="11"/>
      <c r="P22" s="11"/>
      <c r="Q22" s="11"/>
      <c r="R22" s="12"/>
      <c r="S22" s="12"/>
      <c r="T22" s="1111">
        <f>T21</f>
        <v>3731019000</v>
      </c>
      <c r="U22" s="1128"/>
      <c r="V22" s="1129"/>
    </row>
    <row r="23" spans="1:25">
      <c r="A23" s="13"/>
      <c r="B23" s="11"/>
      <c r="C23" s="11"/>
      <c r="D23" s="11"/>
      <c r="E23" s="11"/>
      <c r="F23" s="11"/>
      <c r="G23" s="11"/>
      <c r="H23" s="11"/>
      <c r="I23" s="11"/>
      <c r="J23" s="18"/>
      <c r="K23" s="19"/>
      <c r="L23" s="11"/>
      <c r="M23" s="11"/>
      <c r="N23" s="11"/>
      <c r="O23" s="11"/>
      <c r="P23" s="11"/>
      <c r="Q23" s="11"/>
      <c r="R23" s="12"/>
      <c r="S23" s="12"/>
      <c r="T23" s="1111"/>
      <c r="U23" s="1128"/>
      <c r="V23" s="1129"/>
    </row>
    <row r="24" spans="1:25">
      <c r="A24" s="1109" t="s">
        <v>552</v>
      </c>
      <c r="B24" s="1105"/>
      <c r="C24" s="1105"/>
      <c r="D24" s="1105"/>
      <c r="E24" s="1105"/>
      <c r="F24" s="1105"/>
      <c r="G24" s="1105"/>
      <c r="H24" s="1105"/>
      <c r="I24" s="1105"/>
      <c r="J24" s="1110"/>
      <c r="K24" s="10" t="s">
        <v>23</v>
      </c>
      <c r="L24" s="11"/>
      <c r="M24" s="11"/>
      <c r="N24" s="11"/>
      <c r="O24" s="11"/>
      <c r="P24" s="11"/>
      <c r="Q24" s="11"/>
      <c r="R24" s="12"/>
      <c r="S24" s="12"/>
      <c r="T24" s="1175">
        <f>T25+T26+T27</f>
        <v>10604610000</v>
      </c>
      <c r="U24" s="1176"/>
      <c r="V24" s="1177"/>
    </row>
    <row r="25" spans="1:25">
      <c r="A25" s="1109" t="s">
        <v>767</v>
      </c>
      <c r="B25" s="1105"/>
      <c r="C25" s="1105"/>
      <c r="D25" s="1105"/>
      <c r="E25" s="1105"/>
      <c r="F25" s="1105"/>
      <c r="G25" s="1105"/>
      <c r="H25" s="1105"/>
      <c r="I25" s="1105"/>
      <c r="J25" s="1110"/>
      <c r="K25" s="10" t="s">
        <v>22</v>
      </c>
      <c r="L25" s="11"/>
      <c r="M25" s="11"/>
      <c r="N25" s="11"/>
      <c r="O25" s="11"/>
      <c r="P25" s="11"/>
      <c r="Q25" s="11"/>
      <c r="R25" s="12"/>
      <c r="S25" s="12"/>
      <c r="T25" s="1111">
        <v>324590000</v>
      </c>
      <c r="U25" s="1128"/>
      <c r="V25" s="1129"/>
      <c r="Y25" s="79">
        <f>T24-1320544150</f>
        <v>9284065850</v>
      </c>
    </row>
    <row r="26" spans="1:25">
      <c r="A26" s="1109" t="s">
        <v>553</v>
      </c>
      <c r="B26" s="1105"/>
      <c r="C26" s="1105"/>
      <c r="D26" s="1105"/>
      <c r="E26" s="1105"/>
      <c r="F26" s="1105"/>
      <c r="G26" s="1105"/>
      <c r="H26" s="1105"/>
      <c r="I26" s="1105"/>
      <c r="J26" s="1110"/>
      <c r="K26" s="10" t="s">
        <v>24</v>
      </c>
      <c r="L26" s="11"/>
      <c r="M26" s="11"/>
      <c r="N26" s="11"/>
      <c r="O26" s="11"/>
      <c r="P26" s="11"/>
      <c r="Q26" s="11"/>
      <c r="R26" s="12"/>
      <c r="S26" s="12"/>
      <c r="T26" s="1111">
        <v>2744550000</v>
      </c>
      <c r="U26" s="1128"/>
      <c r="V26" s="1129"/>
    </row>
    <row r="27" spans="1:25">
      <c r="A27" s="1109" t="s">
        <v>25</v>
      </c>
      <c r="B27" s="1105"/>
      <c r="C27" s="1105"/>
      <c r="D27" s="1105"/>
      <c r="E27" s="1105"/>
      <c r="F27" s="1105"/>
      <c r="G27" s="1105"/>
      <c r="H27" s="1105"/>
      <c r="I27" s="1105"/>
      <c r="J27" s="1110"/>
      <c r="K27" s="10" t="s">
        <v>26</v>
      </c>
      <c r="L27" s="11"/>
      <c r="M27" s="11"/>
      <c r="N27" s="11"/>
      <c r="O27" s="11"/>
      <c r="P27" s="11"/>
      <c r="Q27" s="11"/>
      <c r="R27" s="12"/>
      <c r="S27" s="12"/>
      <c r="T27" s="1111">
        <v>7535470000</v>
      </c>
      <c r="U27" s="1128"/>
      <c r="V27" s="1129"/>
      <c r="Y27" s="79">
        <f>T25+T26</f>
        <v>3069140000</v>
      </c>
    </row>
    <row r="28" spans="1:25">
      <c r="A28" s="13"/>
      <c r="B28" s="14"/>
      <c r="C28" s="15"/>
      <c r="D28" s="14"/>
      <c r="E28" s="14"/>
      <c r="F28" s="15"/>
      <c r="G28" s="15"/>
      <c r="H28" s="15"/>
      <c r="I28" s="16"/>
      <c r="J28" s="17"/>
      <c r="K28" s="10"/>
      <c r="L28" s="11"/>
      <c r="M28" s="11"/>
      <c r="N28" s="11"/>
      <c r="O28" s="11"/>
      <c r="P28" s="11"/>
      <c r="Q28" s="11"/>
      <c r="R28" s="12"/>
      <c r="S28" s="12"/>
      <c r="T28" s="1111"/>
      <c r="U28" s="1128"/>
      <c r="V28" s="1129"/>
      <c r="Y28" s="79">
        <f>T27+Y27</f>
        <v>10604610000</v>
      </c>
    </row>
    <row r="29" spans="1:25">
      <c r="A29" s="13"/>
      <c r="B29" s="11"/>
      <c r="C29" s="11"/>
      <c r="D29" s="11"/>
      <c r="E29" s="11"/>
      <c r="F29" s="11"/>
      <c r="G29" s="11"/>
      <c r="H29" s="11"/>
      <c r="I29" s="11"/>
      <c r="J29" s="18"/>
      <c r="K29" s="10"/>
      <c r="L29" s="11"/>
      <c r="M29" s="11"/>
      <c r="N29" s="11"/>
      <c r="O29" s="11"/>
      <c r="P29" s="11"/>
      <c r="Q29" s="11"/>
      <c r="R29" s="12"/>
      <c r="S29" s="12"/>
      <c r="T29" s="1111"/>
      <c r="U29" s="1128"/>
      <c r="V29" s="1129"/>
    </row>
    <row r="30" spans="1:25">
      <c r="A30" s="13"/>
      <c r="B30" s="11"/>
      <c r="C30" s="11"/>
      <c r="D30" s="11"/>
      <c r="E30" s="11"/>
      <c r="F30" s="11"/>
      <c r="G30" s="11"/>
      <c r="H30" s="11"/>
      <c r="I30" s="11"/>
      <c r="J30" s="18"/>
      <c r="K30" s="10"/>
      <c r="L30" s="11"/>
      <c r="M30" s="11"/>
      <c r="N30" s="11"/>
      <c r="O30" s="11"/>
      <c r="P30" s="11"/>
      <c r="Q30" s="11"/>
      <c r="R30" s="12"/>
      <c r="S30" s="12"/>
      <c r="T30" s="1111"/>
      <c r="U30" s="1128"/>
      <c r="V30" s="1129"/>
    </row>
    <row r="31" spans="1:25">
      <c r="A31" s="1121" t="s">
        <v>27</v>
      </c>
      <c r="B31" s="1122"/>
      <c r="C31" s="1122"/>
      <c r="D31" s="1122"/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2"/>
      <c r="T31" s="1130">
        <f>T14-T20</f>
        <v>-14335629000</v>
      </c>
      <c r="U31" s="1131"/>
      <c r="V31" s="1132"/>
      <c r="Y31" s="332">
        <f>T14-T20</f>
        <v>-14335629000</v>
      </c>
    </row>
    <row r="32" spans="1:25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20"/>
    </row>
    <row r="33" spans="1:29">
      <c r="A33" s="1123" t="s">
        <v>28</v>
      </c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7"/>
    </row>
    <row r="34" spans="1:29">
      <c r="A34" s="1133" t="s">
        <v>29</v>
      </c>
      <c r="B34" s="1134"/>
      <c r="C34" s="1134"/>
      <c r="D34" s="1134"/>
      <c r="E34" s="1134"/>
      <c r="F34" s="1134"/>
      <c r="G34" s="1134"/>
      <c r="H34" s="1134"/>
      <c r="I34" s="1134"/>
      <c r="J34" s="1134"/>
      <c r="K34" s="1134"/>
      <c r="L34" s="1134"/>
      <c r="M34" s="1134"/>
      <c r="N34" s="1134"/>
      <c r="O34" s="1134"/>
      <c r="P34" s="1134"/>
      <c r="Q34" s="1134"/>
      <c r="R34" s="1134"/>
      <c r="S34" s="1134"/>
      <c r="T34" s="1134"/>
      <c r="U34" s="1134"/>
      <c r="V34" s="1135"/>
      <c r="Y34" s="150"/>
      <c r="Z34" s="151"/>
      <c r="AA34" s="151"/>
      <c r="AB34" s="1087"/>
      <c r="AC34" s="1087"/>
    </row>
    <row r="35" spans="1:29">
      <c r="A35" s="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20"/>
      <c r="Y35" s="150"/>
      <c r="Z35" s="151"/>
      <c r="AA35" s="151"/>
      <c r="AB35" s="1087"/>
      <c r="AC35" s="1087"/>
    </row>
    <row r="36" spans="1:29">
      <c r="A36" s="1123" t="s">
        <v>30</v>
      </c>
      <c r="B36" s="1124"/>
      <c r="C36" s="1124"/>
      <c r="D36" s="1124"/>
      <c r="E36" s="1124"/>
      <c r="F36" s="1124"/>
      <c r="G36" s="1124"/>
      <c r="H36" s="1125"/>
      <c r="I36" s="1126" t="s">
        <v>14</v>
      </c>
      <c r="J36" s="1124"/>
      <c r="K36" s="1124"/>
      <c r="L36" s="1125"/>
      <c r="M36" s="1115" t="s">
        <v>31</v>
      </c>
      <c r="N36" s="1122"/>
      <c r="O36" s="1122"/>
      <c r="P36" s="1122"/>
      <c r="Q36" s="1122"/>
      <c r="R36" s="1122"/>
      <c r="S36" s="1122"/>
      <c r="T36" s="1122"/>
      <c r="U36" s="1126" t="s">
        <v>15</v>
      </c>
      <c r="V36" s="1127"/>
      <c r="Y36" s="150"/>
      <c r="Z36" s="151"/>
      <c r="AA36" s="151"/>
      <c r="AB36" s="1087"/>
      <c r="AC36" s="1087"/>
    </row>
    <row r="37" spans="1:29">
      <c r="A37" s="21"/>
      <c r="B37" s="22"/>
      <c r="C37" s="22"/>
      <c r="D37" s="22"/>
      <c r="E37" s="22"/>
      <c r="F37" s="22"/>
      <c r="G37" s="22"/>
      <c r="H37" s="23"/>
      <c r="I37" s="24"/>
      <c r="J37" s="22"/>
      <c r="K37" s="22"/>
      <c r="L37" s="23"/>
      <c r="M37" s="1115" t="s">
        <v>32</v>
      </c>
      <c r="N37" s="1120"/>
      <c r="O37" s="1115" t="s">
        <v>33</v>
      </c>
      <c r="P37" s="1120"/>
      <c r="Q37" s="1115" t="s">
        <v>34</v>
      </c>
      <c r="R37" s="1120"/>
      <c r="S37" s="1115" t="s">
        <v>35</v>
      </c>
      <c r="T37" s="1120"/>
      <c r="U37" s="25"/>
      <c r="V37" s="26"/>
      <c r="Y37" s="150"/>
      <c r="Z37" s="151"/>
      <c r="AA37" s="153"/>
      <c r="AB37" s="1091"/>
      <c r="AC37" s="1091"/>
    </row>
    <row r="38" spans="1:29">
      <c r="A38" s="1121">
        <v>1</v>
      </c>
      <c r="B38" s="1122"/>
      <c r="C38" s="1122"/>
      <c r="D38" s="1122"/>
      <c r="E38" s="1122"/>
      <c r="F38" s="1122"/>
      <c r="G38" s="1122"/>
      <c r="H38" s="1120"/>
      <c r="I38" s="1122">
        <v>2</v>
      </c>
      <c r="J38" s="1122"/>
      <c r="K38" s="1122"/>
      <c r="L38" s="1120"/>
      <c r="M38" s="1115">
        <v>3</v>
      </c>
      <c r="N38" s="1120"/>
      <c r="O38" s="1115">
        <v>4</v>
      </c>
      <c r="P38" s="1120"/>
      <c r="Q38" s="1115">
        <v>5</v>
      </c>
      <c r="R38" s="1120"/>
      <c r="S38" s="1115">
        <v>6</v>
      </c>
      <c r="T38" s="1120"/>
      <c r="U38" s="1115" t="s">
        <v>36</v>
      </c>
      <c r="V38" s="1116"/>
    </row>
    <row r="39" spans="1:29">
      <c r="A39" s="382"/>
      <c r="B39" s="383"/>
      <c r="C39" s="383"/>
      <c r="D39" s="383"/>
      <c r="E39" s="383"/>
      <c r="F39" s="383"/>
      <c r="G39" s="383"/>
      <c r="H39" s="390"/>
      <c r="I39" s="386"/>
      <c r="J39" s="386"/>
      <c r="K39" s="386"/>
      <c r="L39" s="386"/>
      <c r="M39" s="385"/>
      <c r="N39" s="384"/>
      <c r="O39" s="386"/>
      <c r="P39" s="386"/>
      <c r="Q39" s="385"/>
      <c r="R39" s="384"/>
      <c r="S39" s="386"/>
      <c r="T39" s="386"/>
      <c r="U39" s="388"/>
      <c r="V39" s="387"/>
    </row>
    <row r="40" spans="1:29">
      <c r="A40" s="1109" t="s">
        <v>542</v>
      </c>
      <c r="B40" s="1105"/>
      <c r="C40" s="1105"/>
      <c r="D40" s="1105"/>
      <c r="E40" s="1105"/>
      <c r="F40" s="1105"/>
      <c r="G40" s="1105"/>
      <c r="H40" s="18"/>
      <c r="I40" s="1117" t="s">
        <v>816</v>
      </c>
      <c r="J40" s="1100"/>
      <c r="K40" s="1100"/>
      <c r="L40" s="1118"/>
      <c r="M40" s="1178">
        <v>928250000</v>
      </c>
      <c r="N40" s="1179"/>
      <c r="O40" s="1178">
        <f>M40</f>
        <v>928250000</v>
      </c>
      <c r="P40" s="1179"/>
      <c r="Q40" s="1178">
        <f>O40</f>
        <v>928250000</v>
      </c>
      <c r="R40" s="1179"/>
      <c r="S40" s="1178">
        <f>Q40</f>
        <v>928250000</v>
      </c>
      <c r="T40" s="1179"/>
      <c r="U40" s="1178">
        <f>M40+O40+Q40+S40</f>
        <v>3713000000</v>
      </c>
      <c r="V40" s="1180"/>
    </row>
    <row r="41" spans="1:29">
      <c r="A41" s="1109" t="s">
        <v>549</v>
      </c>
      <c r="B41" s="1105"/>
      <c r="C41" s="1105"/>
      <c r="D41" s="1105"/>
      <c r="E41" s="1105"/>
      <c r="F41" s="1105"/>
      <c r="G41" s="1105"/>
      <c r="H41" s="1110"/>
      <c r="I41" s="11" t="s">
        <v>20</v>
      </c>
      <c r="J41" s="11"/>
      <c r="K41" s="11"/>
      <c r="L41" s="11"/>
      <c r="M41" s="1111">
        <v>450683470</v>
      </c>
      <c r="N41" s="1112"/>
      <c r="O41" s="1111">
        <v>534409540</v>
      </c>
      <c r="P41" s="1112"/>
      <c r="Q41" s="1111">
        <v>534409535</v>
      </c>
      <c r="R41" s="1112"/>
      <c r="S41" s="1111">
        <v>450683455</v>
      </c>
      <c r="T41" s="1112"/>
      <c r="U41" s="1111">
        <f>M41+O41+Q41+S41</f>
        <v>1970186000</v>
      </c>
      <c r="V41" s="1129"/>
    </row>
    <row r="42" spans="1:29">
      <c r="A42" s="1109" t="s">
        <v>552</v>
      </c>
      <c r="B42" s="1105"/>
      <c r="C42" s="1105"/>
      <c r="D42" s="1105"/>
      <c r="E42" s="1105"/>
      <c r="F42" s="1105"/>
      <c r="G42" s="1105"/>
      <c r="H42" s="1110"/>
      <c r="I42" s="11" t="s">
        <v>37</v>
      </c>
      <c r="J42" s="11"/>
      <c r="K42" s="11"/>
      <c r="L42" s="11"/>
      <c r="M42" s="1111">
        <v>382477000</v>
      </c>
      <c r="N42" s="1112"/>
      <c r="O42" s="1111">
        <v>623791000</v>
      </c>
      <c r="P42" s="1112"/>
      <c r="Q42" s="1111">
        <v>258581000</v>
      </c>
      <c r="R42" s="1112"/>
      <c r="S42" s="1111">
        <v>55695150</v>
      </c>
      <c r="T42" s="1112"/>
      <c r="U42" s="1111">
        <f>S42+Q42+O42+M42</f>
        <v>1320544150</v>
      </c>
      <c r="V42" s="1129"/>
      <c r="Y42">
        <f>1320544150</f>
        <v>1320544150</v>
      </c>
    </row>
    <row r="43" spans="1:29">
      <c r="A43" s="13"/>
      <c r="B43" s="11"/>
      <c r="C43" s="11"/>
      <c r="D43" s="11"/>
      <c r="E43" s="11"/>
      <c r="F43" s="11"/>
      <c r="G43" s="11"/>
      <c r="H43" s="18"/>
      <c r="I43" s="11"/>
      <c r="J43" s="11"/>
      <c r="K43" s="11"/>
      <c r="L43" s="11"/>
      <c r="M43" s="10"/>
      <c r="N43" s="18"/>
      <c r="O43" s="11"/>
      <c r="P43" s="11"/>
      <c r="Q43" s="10"/>
      <c r="R43" s="18"/>
      <c r="S43" s="11"/>
      <c r="T43" s="11"/>
      <c r="U43" s="10"/>
      <c r="V43" s="20"/>
      <c r="Y43" s="79">
        <f>Y42-U42</f>
        <v>0</v>
      </c>
    </row>
    <row r="44" spans="1:29">
      <c r="A44" s="13"/>
      <c r="B44" s="11"/>
      <c r="C44" s="11"/>
      <c r="D44" s="11"/>
      <c r="E44" s="11"/>
      <c r="F44" s="11"/>
      <c r="G44" s="11"/>
      <c r="H44" s="18"/>
      <c r="I44" s="11"/>
      <c r="J44" s="11"/>
      <c r="K44" s="11"/>
      <c r="L44" s="11"/>
      <c r="M44" s="10"/>
      <c r="N44" s="18"/>
      <c r="O44" s="11"/>
      <c r="P44" s="11"/>
      <c r="Q44" s="10"/>
      <c r="R44" s="18"/>
      <c r="S44" s="11"/>
      <c r="T44" s="11"/>
      <c r="U44" s="10"/>
      <c r="V44" s="20"/>
    </row>
    <row r="45" spans="1:29">
      <c r="A45" s="13"/>
      <c r="B45" s="11"/>
      <c r="C45" s="11"/>
      <c r="D45" s="11"/>
      <c r="E45" s="11"/>
      <c r="F45" s="11"/>
      <c r="G45" s="11"/>
      <c r="H45" s="18"/>
      <c r="I45" s="11"/>
      <c r="J45" s="11"/>
      <c r="K45" s="11"/>
      <c r="L45" s="11"/>
      <c r="M45" s="10"/>
      <c r="N45" s="18"/>
      <c r="O45" s="11"/>
      <c r="P45" s="11"/>
      <c r="Q45" s="10"/>
      <c r="R45" s="18"/>
      <c r="S45" s="11"/>
      <c r="T45" s="11"/>
      <c r="U45" s="10"/>
      <c r="V45" s="20"/>
      <c r="Y45" s="79">
        <f>U41+U42</f>
        <v>3290730150</v>
      </c>
    </row>
    <row r="46" spans="1:29">
      <c r="A46" s="21"/>
      <c r="B46" s="22"/>
      <c r="C46" s="22"/>
      <c r="D46" s="22"/>
      <c r="E46" s="22"/>
      <c r="F46" s="22"/>
      <c r="G46" s="22"/>
      <c r="H46" s="23"/>
      <c r="I46" s="22"/>
      <c r="J46" s="22"/>
      <c r="K46" s="22"/>
      <c r="L46" s="22"/>
      <c r="M46" s="24"/>
      <c r="N46" s="23"/>
      <c r="O46" s="22"/>
      <c r="P46" s="22"/>
      <c r="Q46" s="24"/>
      <c r="R46" s="23"/>
      <c r="S46" s="22"/>
      <c r="T46" s="22"/>
      <c r="U46" s="24"/>
      <c r="V46" s="29"/>
    </row>
    <row r="47" spans="1:29">
      <c r="A47" s="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0"/>
    </row>
    <row r="48" spans="1:29">
      <c r="A48" s="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0"/>
    </row>
    <row r="49" spans="1:22">
      <c r="A49" s="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00" t="s">
        <v>554</v>
      </c>
      <c r="S49" s="1100"/>
      <c r="T49" s="1100"/>
      <c r="U49" s="1100"/>
      <c r="V49" s="1101"/>
    </row>
    <row r="50" spans="1:22">
      <c r="A50" s="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00" t="s">
        <v>38</v>
      </c>
      <c r="S50" s="1100"/>
      <c r="T50" s="1100"/>
      <c r="U50" s="1100"/>
      <c r="V50" s="1101"/>
    </row>
    <row r="51" spans="1:22">
      <c r="A51" s="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00" t="s">
        <v>39</v>
      </c>
      <c r="S51" s="1100"/>
      <c r="T51" s="1100"/>
      <c r="U51" s="1100"/>
      <c r="V51" s="1101"/>
    </row>
    <row r="52" spans="1:22">
      <c r="A52" s="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00" t="s">
        <v>4</v>
      </c>
      <c r="S52" s="1100"/>
      <c r="T52" s="1100"/>
      <c r="U52" s="1100"/>
      <c r="V52" s="1101"/>
    </row>
    <row r="53" spans="1:22">
      <c r="A53" s="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00"/>
      <c r="S53" s="1100"/>
      <c r="T53" s="1100"/>
      <c r="U53" s="1100"/>
      <c r="V53" s="1101"/>
    </row>
    <row r="54" spans="1:22">
      <c r="A54" s="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88"/>
      <c r="S54" s="188"/>
      <c r="T54" s="188"/>
      <c r="U54" s="188"/>
      <c r="V54" s="189"/>
    </row>
    <row r="55" spans="1:22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0"/>
    </row>
    <row r="56" spans="1:22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0"/>
    </row>
    <row r="57" spans="1:22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07" t="s">
        <v>40</v>
      </c>
      <c r="S57" s="1107"/>
      <c r="T57" s="1107"/>
      <c r="U57" s="1107"/>
      <c r="V57" s="1108"/>
    </row>
    <row r="58" spans="1:22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00" t="s">
        <v>41</v>
      </c>
      <c r="S58" s="1100"/>
      <c r="T58" s="1100"/>
      <c r="U58" s="1100"/>
      <c r="V58" s="1101"/>
    </row>
    <row r="59" spans="1:22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00" t="s">
        <v>42</v>
      </c>
      <c r="S59" s="1100"/>
      <c r="T59" s="1100"/>
      <c r="U59" s="1100"/>
      <c r="V59" s="1101"/>
    </row>
    <row r="60" spans="1:22">
      <c r="A60" s="1102" t="s">
        <v>43</v>
      </c>
      <c r="B60" s="1103"/>
      <c r="C60" s="1103"/>
      <c r="D60" s="1103"/>
      <c r="E60" s="1103"/>
      <c r="F60" s="1103"/>
      <c r="G60" s="1103"/>
      <c r="H60" s="1103"/>
      <c r="I60" s="1103"/>
      <c r="J60" s="1103"/>
      <c r="K60" s="1103"/>
      <c r="L60" s="1103"/>
      <c r="M60" s="1103"/>
      <c r="N60" s="1103"/>
      <c r="O60" s="1103"/>
      <c r="P60" s="1103"/>
      <c r="Q60" s="1103"/>
      <c r="R60" s="1103"/>
      <c r="S60" s="1103"/>
      <c r="T60" s="1103"/>
      <c r="U60" s="1103"/>
      <c r="V60" s="1104"/>
    </row>
    <row r="61" spans="1:22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20"/>
    </row>
    <row r="62" spans="1:22">
      <c r="A62" s="13">
        <v>1</v>
      </c>
      <c r="B62" s="11" t="s">
        <v>526</v>
      </c>
      <c r="C62" s="11"/>
      <c r="D62" s="11"/>
      <c r="E62" s="11"/>
      <c r="F62" s="11"/>
      <c r="G62" s="11"/>
      <c r="H62" s="11"/>
      <c r="I62" s="11"/>
      <c r="J62" s="11"/>
      <c r="K62" s="11"/>
      <c r="L62" s="11" t="s">
        <v>555</v>
      </c>
      <c r="M62" s="11"/>
      <c r="N62" s="11"/>
      <c r="O62" s="11"/>
      <c r="P62" s="11"/>
      <c r="Q62" s="11"/>
      <c r="R62" s="11" t="s">
        <v>44</v>
      </c>
      <c r="S62" s="11"/>
      <c r="T62" s="11"/>
      <c r="U62" s="11"/>
      <c r="V62" s="20"/>
    </row>
    <row r="63" spans="1:22">
      <c r="A63" s="13"/>
      <c r="B63" s="11" t="s">
        <v>45</v>
      </c>
      <c r="C63" s="11"/>
      <c r="D63" s="11"/>
      <c r="E63" s="11"/>
      <c r="F63" s="11"/>
      <c r="G63" s="11"/>
      <c r="H63" s="11"/>
      <c r="I63" s="11"/>
      <c r="J63" s="11"/>
      <c r="K63" s="11"/>
      <c r="L63" s="11" t="s">
        <v>556</v>
      </c>
      <c r="M63" s="11"/>
      <c r="N63" s="11"/>
      <c r="O63" s="11"/>
      <c r="P63" s="11"/>
      <c r="Q63" s="11"/>
      <c r="R63" s="11"/>
      <c r="S63" s="11"/>
      <c r="T63" s="11"/>
      <c r="U63" s="11"/>
      <c r="V63" s="20"/>
    </row>
    <row r="64" spans="1:22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20"/>
    </row>
    <row r="65" spans="1:22">
      <c r="A65" s="13">
        <v>2</v>
      </c>
      <c r="B65" s="11" t="s">
        <v>46</v>
      </c>
      <c r="C65" s="11"/>
      <c r="D65" s="11"/>
      <c r="E65" s="11"/>
      <c r="F65" s="11"/>
      <c r="G65" s="11"/>
      <c r="H65" s="11"/>
      <c r="I65" s="11"/>
      <c r="J65" s="11"/>
      <c r="K65" s="11"/>
      <c r="L65" s="1105" t="s">
        <v>192</v>
      </c>
      <c r="M65" s="1105"/>
      <c r="N65" s="1105"/>
      <c r="O65" s="1105"/>
      <c r="P65" s="1105"/>
      <c r="Q65" s="1105"/>
      <c r="R65" s="1105"/>
      <c r="S65" s="11" t="s">
        <v>812</v>
      </c>
      <c r="T65" s="11"/>
      <c r="U65" s="11"/>
      <c r="V65" s="20"/>
    </row>
    <row r="66" spans="1:22">
      <c r="A66" s="13"/>
      <c r="B66" s="11" t="s">
        <v>45</v>
      </c>
      <c r="C66" s="11"/>
      <c r="D66" s="11"/>
      <c r="E66" s="11"/>
      <c r="F66" s="11"/>
      <c r="G66" s="11"/>
      <c r="H66" s="11"/>
      <c r="I66" s="11"/>
      <c r="J66" s="11"/>
      <c r="K66" s="11"/>
      <c r="L66" s="1105" t="s">
        <v>112</v>
      </c>
      <c r="M66" s="1106"/>
      <c r="N66" s="1106"/>
      <c r="O66" s="1106"/>
      <c r="P66" s="1106"/>
      <c r="Q66" s="1106"/>
      <c r="R66" s="1106"/>
      <c r="S66" s="11"/>
      <c r="T66" s="11"/>
      <c r="U66" s="11"/>
      <c r="V66" s="20"/>
    </row>
    <row r="67" spans="1:22" ht="15.75" thickBot="1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2"/>
    </row>
  </sheetData>
  <mergeCells count="93">
    <mergeCell ref="M40:N40"/>
    <mergeCell ref="AB34:AC34"/>
    <mergeCell ref="AB35:AC35"/>
    <mergeCell ref="AB36:AC36"/>
    <mergeCell ref="AB37:AC37"/>
    <mergeCell ref="O40:P40"/>
    <mergeCell ref="Q40:R40"/>
    <mergeCell ref="S40:T40"/>
    <mergeCell ref="U40:V40"/>
    <mergeCell ref="M38:N38"/>
    <mergeCell ref="O38:P38"/>
    <mergeCell ref="Q38:R38"/>
    <mergeCell ref="S38:T38"/>
    <mergeCell ref="U38:V38"/>
    <mergeCell ref="L65:R65"/>
    <mergeCell ref="L66:R66"/>
    <mergeCell ref="A6:V6"/>
    <mergeCell ref="A1:T2"/>
    <mergeCell ref="U1:V1"/>
    <mergeCell ref="A3:T4"/>
    <mergeCell ref="U3:V3"/>
    <mergeCell ref="A5:V5"/>
    <mergeCell ref="A9:V9"/>
    <mergeCell ref="A10:V10"/>
    <mergeCell ref="A11:J11"/>
    <mergeCell ref="K11:S11"/>
    <mergeCell ref="T11:V11"/>
    <mergeCell ref="A12:J12"/>
    <mergeCell ref="T12:V12"/>
    <mergeCell ref="A13:J13"/>
    <mergeCell ref="K13:S13"/>
    <mergeCell ref="T13:V13"/>
    <mergeCell ref="A14:J14"/>
    <mergeCell ref="T14:V14"/>
    <mergeCell ref="A25:J25"/>
    <mergeCell ref="T25:V25"/>
    <mergeCell ref="T15:V15"/>
    <mergeCell ref="A20:J20"/>
    <mergeCell ref="T20:V20"/>
    <mergeCell ref="A21:J21"/>
    <mergeCell ref="T21:V21"/>
    <mergeCell ref="A22:J22"/>
    <mergeCell ref="T22:V22"/>
    <mergeCell ref="T23:V23"/>
    <mergeCell ref="A24:J24"/>
    <mergeCell ref="T24:V24"/>
    <mergeCell ref="T16:V16"/>
    <mergeCell ref="T17:V17"/>
    <mergeCell ref="T18:V18"/>
    <mergeCell ref="A36:H36"/>
    <mergeCell ref="I36:L36"/>
    <mergeCell ref="M36:T36"/>
    <mergeCell ref="U36:V36"/>
    <mergeCell ref="A26:J26"/>
    <mergeCell ref="T26:V26"/>
    <mergeCell ref="A27:J27"/>
    <mergeCell ref="T27:V27"/>
    <mergeCell ref="T28:V28"/>
    <mergeCell ref="T29:V29"/>
    <mergeCell ref="T30:V30"/>
    <mergeCell ref="A31:S31"/>
    <mergeCell ref="T31:V31"/>
    <mergeCell ref="A33:V33"/>
    <mergeCell ref="A34:V34"/>
    <mergeCell ref="M37:N37"/>
    <mergeCell ref="O37:P37"/>
    <mergeCell ref="Q37:R37"/>
    <mergeCell ref="S37:T37"/>
    <mergeCell ref="A38:H38"/>
    <mergeCell ref="I38:L38"/>
    <mergeCell ref="U42:V42"/>
    <mergeCell ref="A41:H41"/>
    <mergeCell ref="M41:N41"/>
    <mergeCell ref="O41:P41"/>
    <mergeCell ref="Q41:R41"/>
    <mergeCell ref="S41:T41"/>
    <mergeCell ref="U41:V41"/>
    <mergeCell ref="A42:H42"/>
    <mergeCell ref="M42:N42"/>
    <mergeCell ref="O42:P42"/>
    <mergeCell ref="Q42:R42"/>
    <mergeCell ref="S42:T42"/>
    <mergeCell ref="A40:G40"/>
    <mergeCell ref="I40:L40"/>
    <mergeCell ref="R58:V58"/>
    <mergeCell ref="R59:V59"/>
    <mergeCell ref="A60:V60"/>
    <mergeCell ref="R49:V49"/>
    <mergeCell ref="R50:V50"/>
    <mergeCell ref="R51:V51"/>
    <mergeCell ref="R52:V52"/>
    <mergeCell ref="R53:V53"/>
    <mergeCell ref="R57:V57"/>
  </mergeCells>
  <pageMargins left="0.43307086614173229" right="0.43307086614173229" top="0.70866141732283472" bottom="0.70866141732283472" header="0.31496062992125984" footer="0.31496062992125984"/>
  <pageSetup paperSize="5" scale="80"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X66"/>
  <sheetViews>
    <sheetView topLeftCell="A16" workbookViewId="0">
      <selection activeCell="R41" sqref="R41"/>
    </sheetView>
  </sheetViews>
  <sheetFormatPr defaultRowHeight="15"/>
  <cols>
    <col min="1" max="1" width="2.5703125" customWidth="1"/>
    <col min="2" max="2" width="2.7109375" customWidth="1"/>
    <col min="3" max="3" width="1.7109375" customWidth="1"/>
    <col min="4" max="4" width="3.85546875" customWidth="1"/>
    <col min="5" max="5" width="2" customWidth="1"/>
    <col min="6" max="6" width="1.85546875" customWidth="1"/>
    <col min="7" max="7" width="2.85546875" customWidth="1"/>
    <col min="8" max="8" width="2.140625" customWidth="1"/>
    <col min="9" max="9" width="1.5703125" customWidth="1"/>
    <col min="10" max="10" width="2" customWidth="1"/>
    <col min="11" max="11" width="3" customWidth="1"/>
    <col min="12" max="12" width="2" customWidth="1"/>
    <col min="16" max="16" width="6.42578125" customWidth="1"/>
    <col min="17" max="17" width="8.140625" customWidth="1"/>
    <col min="18" max="18" width="5.42578125" customWidth="1"/>
    <col min="19" max="19" width="4.5703125" customWidth="1"/>
    <col min="20" max="21" width="5.5703125" customWidth="1"/>
    <col min="22" max="22" width="5" customWidth="1"/>
    <col min="23" max="23" width="5.5703125" customWidth="1"/>
    <col min="24" max="24" width="7.7109375" customWidth="1"/>
  </cols>
  <sheetData>
    <row r="1" spans="1:24" ht="15" customHeight="1">
      <c r="A1" s="1386" t="s">
        <v>117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8"/>
      <c r="P1" s="1938" t="s">
        <v>118</v>
      </c>
      <c r="Q1" s="1626"/>
      <c r="R1" s="1626"/>
      <c r="S1" s="1626"/>
      <c r="T1" s="1626"/>
      <c r="U1" s="1626"/>
      <c r="V1" s="1627"/>
      <c r="W1" s="1452" t="s">
        <v>1</v>
      </c>
      <c r="X1" s="1453"/>
    </row>
    <row r="2" spans="1:24" ht="15" customHeight="1">
      <c r="A2" s="1389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1"/>
      <c r="P2" s="1939"/>
      <c r="Q2" s="1383"/>
      <c r="R2" s="1383"/>
      <c r="S2" s="1383"/>
      <c r="T2" s="1383"/>
      <c r="U2" s="1383"/>
      <c r="V2" s="1384"/>
      <c r="W2" s="1436" t="s">
        <v>3</v>
      </c>
      <c r="X2" s="1393"/>
    </row>
    <row r="3" spans="1:24" ht="15" customHeight="1">
      <c r="A3" s="1379" t="s">
        <v>2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1"/>
      <c r="P3" s="1940">
        <v>3.02</v>
      </c>
      <c r="Q3" s="1281">
        <v>3.02</v>
      </c>
      <c r="R3" s="1942" t="s">
        <v>157</v>
      </c>
      <c r="S3" s="1942" t="s">
        <v>198</v>
      </c>
      <c r="T3" s="1942" t="s">
        <v>416</v>
      </c>
      <c r="U3" s="1940" t="s">
        <v>158</v>
      </c>
      <c r="V3" s="1940" t="s">
        <v>159</v>
      </c>
      <c r="W3" s="1944" t="s">
        <v>160</v>
      </c>
      <c r="X3" s="1945"/>
    </row>
    <row r="4" spans="1:24" ht="15" customHeight="1">
      <c r="A4" s="1382"/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4"/>
      <c r="P4" s="1941"/>
      <c r="Q4" s="1284"/>
      <c r="R4" s="1941"/>
      <c r="S4" s="1943"/>
      <c r="T4" s="1943"/>
      <c r="U4" s="1941"/>
      <c r="V4" s="1941"/>
      <c r="W4" s="1946"/>
      <c r="X4" s="1947"/>
    </row>
    <row r="5" spans="1:24">
      <c r="A5" s="1321" t="s">
        <v>717</v>
      </c>
      <c r="B5" s="1322"/>
      <c r="C5" s="1322"/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3"/>
    </row>
    <row r="6" spans="1:24">
      <c r="A6" s="1324" t="s">
        <v>527</v>
      </c>
      <c r="B6" s="1325"/>
      <c r="C6" s="1325"/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6"/>
    </row>
    <row r="7" spans="1:24">
      <c r="A7" s="5" t="s">
        <v>5</v>
      </c>
      <c r="B7" s="195"/>
      <c r="C7" s="195"/>
      <c r="D7" s="195"/>
      <c r="E7" s="195"/>
      <c r="F7" s="195"/>
      <c r="G7" s="195"/>
      <c r="H7" s="195"/>
      <c r="I7" s="195"/>
      <c r="J7" s="195"/>
      <c r="K7" s="195" t="s">
        <v>6</v>
      </c>
      <c r="L7" s="195" t="s">
        <v>559</v>
      </c>
      <c r="M7" s="195"/>
      <c r="N7" s="195"/>
      <c r="O7" s="195"/>
      <c r="P7" s="330" t="s">
        <v>8</v>
      </c>
      <c r="Q7" s="330"/>
      <c r="R7" s="330"/>
      <c r="S7" s="330"/>
      <c r="T7" s="330"/>
      <c r="U7" s="230"/>
      <c r="V7" s="230"/>
      <c r="W7" s="195"/>
      <c r="X7" s="2"/>
    </row>
    <row r="8" spans="1:24">
      <c r="A8" s="5" t="s">
        <v>9</v>
      </c>
      <c r="B8" s="195"/>
      <c r="C8" s="195"/>
      <c r="D8" s="195"/>
      <c r="E8" s="195"/>
      <c r="F8" s="195"/>
      <c r="G8" s="195"/>
      <c r="H8" s="195"/>
      <c r="I8" s="195"/>
      <c r="J8" s="195"/>
      <c r="K8" s="195" t="s">
        <v>6</v>
      </c>
      <c r="L8" s="6" t="s">
        <v>529</v>
      </c>
      <c r="M8" s="6"/>
      <c r="N8" s="195"/>
      <c r="O8" s="195"/>
      <c r="P8" s="6" t="s">
        <v>11</v>
      </c>
      <c r="Q8" s="6"/>
      <c r="R8" s="6"/>
      <c r="S8" s="6"/>
      <c r="T8" s="6"/>
      <c r="U8" s="230"/>
      <c r="V8" s="230"/>
      <c r="W8" s="195"/>
      <c r="X8" s="2"/>
    </row>
    <row r="9" spans="1:24">
      <c r="A9" s="5" t="s">
        <v>162</v>
      </c>
      <c r="B9" s="195"/>
      <c r="C9" s="195"/>
      <c r="D9" s="195"/>
      <c r="E9" s="195"/>
      <c r="F9" s="195"/>
      <c r="G9" s="195"/>
      <c r="H9" s="195"/>
      <c r="I9" s="195"/>
      <c r="J9" s="195"/>
      <c r="K9" s="195" t="s">
        <v>6</v>
      </c>
      <c r="L9" s="230" t="s">
        <v>610</v>
      </c>
      <c r="M9" s="230"/>
      <c r="N9" s="230"/>
      <c r="O9" s="230"/>
      <c r="P9" s="230" t="s">
        <v>93</v>
      </c>
      <c r="Q9" s="230"/>
      <c r="R9" s="230"/>
      <c r="S9" s="230"/>
      <c r="T9" s="230"/>
      <c r="U9" s="230"/>
      <c r="V9" s="230"/>
      <c r="W9" s="195"/>
      <c r="X9" s="2"/>
    </row>
    <row r="10" spans="1:24">
      <c r="A10" s="5" t="s">
        <v>58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 t="s">
        <v>6</v>
      </c>
      <c r="L10" s="195" t="s">
        <v>711</v>
      </c>
      <c r="M10" s="195"/>
      <c r="N10" s="195"/>
      <c r="O10" s="195"/>
      <c r="P10" s="331" t="s">
        <v>407</v>
      </c>
      <c r="Q10" s="331"/>
      <c r="R10" s="331"/>
      <c r="S10" s="331"/>
      <c r="T10" s="331"/>
      <c r="U10" s="331"/>
      <c r="V10" s="331"/>
      <c r="W10" s="195"/>
      <c r="X10" s="2"/>
    </row>
    <row r="11" spans="1:24">
      <c r="A11" s="5" t="s">
        <v>164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 t="s">
        <v>6</v>
      </c>
      <c r="L11" s="195" t="s">
        <v>532</v>
      </c>
      <c r="M11" s="195"/>
      <c r="N11" s="195"/>
      <c r="O11" s="195"/>
      <c r="P11" s="195"/>
      <c r="Q11" s="45"/>
      <c r="R11" s="195"/>
      <c r="S11" s="195"/>
      <c r="T11" s="195"/>
      <c r="U11" s="195"/>
      <c r="V11" s="195"/>
      <c r="W11" s="195"/>
      <c r="X11" s="2"/>
    </row>
    <row r="12" spans="1:24">
      <c r="A12" s="5" t="s">
        <v>165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 t="s">
        <v>6</v>
      </c>
      <c r="L12" s="195" t="s">
        <v>166</v>
      </c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2"/>
    </row>
    <row r="13" spans="1:24">
      <c r="A13" s="5" t="s">
        <v>167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 t="s">
        <v>6</v>
      </c>
      <c r="L13" s="195" t="s">
        <v>68</v>
      </c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2"/>
    </row>
    <row r="14" spans="1:24">
      <c r="A14" s="1418" t="s">
        <v>260</v>
      </c>
      <c r="B14" s="1400"/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0"/>
      <c r="U14" s="1400"/>
      <c r="V14" s="1400"/>
      <c r="W14" s="1400"/>
      <c r="X14" s="1405"/>
    </row>
    <row r="15" spans="1:24">
      <c r="A15" s="1418" t="s">
        <v>169</v>
      </c>
      <c r="B15" s="1400"/>
      <c r="C15" s="1400"/>
      <c r="D15" s="1400"/>
      <c r="E15" s="1400"/>
      <c r="F15" s="1400"/>
      <c r="G15" s="270"/>
      <c r="H15" s="270"/>
      <c r="I15" s="1399" t="s">
        <v>170</v>
      </c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3"/>
      <c r="U15" s="1399" t="s">
        <v>171</v>
      </c>
      <c r="V15" s="1400"/>
      <c r="W15" s="1400"/>
      <c r="X15" s="1405"/>
    </row>
    <row r="16" spans="1:24">
      <c r="A16" s="80" t="s">
        <v>172</v>
      </c>
      <c r="B16" s="53"/>
      <c r="C16" s="53"/>
      <c r="D16" s="53"/>
      <c r="E16" s="53"/>
      <c r="F16" s="53"/>
      <c r="G16" s="53"/>
      <c r="H16" s="53"/>
      <c r="I16" s="99" t="s">
        <v>417</v>
      </c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100"/>
      <c r="U16" s="1578">
        <v>1</v>
      </c>
      <c r="V16" s="1579"/>
      <c r="W16" s="1579"/>
      <c r="X16" s="1580"/>
    </row>
    <row r="17" spans="1:24">
      <c r="A17" s="5" t="s">
        <v>174</v>
      </c>
      <c r="B17" s="195"/>
      <c r="C17" s="195"/>
      <c r="D17" s="195"/>
      <c r="E17" s="195"/>
      <c r="F17" s="195"/>
      <c r="G17" s="195"/>
      <c r="H17" s="195"/>
      <c r="I17" s="93" t="s">
        <v>175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101"/>
      <c r="U17" s="102" t="s">
        <v>154</v>
      </c>
      <c r="V17" s="1530">
        <f>V27</f>
        <v>2500000</v>
      </c>
      <c r="W17" s="1530"/>
      <c r="X17" s="1531"/>
    </row>
    <row r="18" spans="1:24">
      <c r="A18" s="5" t="s">
        <v>176</v>
      </c>
      <c r="B18" s="195"/>
      <c r="C18" s="195"/>
      <c r="D18" s="195"/>
      <c r="E18" s="195"/>
      <c r="F18" s="195"/>
      <c r="G18" s="195"/>
      <c r="H18" s="195"/>
      <c r="I18" s="93" t="s">
        <v>418</v>
      </c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101"/>
      <c r="U18" s="1456" t="s">
        <v>178</v>
      </c>
      <c r="V18" s="1359"/>
      <c r="W18" s="1359"/>
      <c r="X18" s="1360"/>
    </row>
    <row r="19" spans="1:24">
      <c r="A19" s="68" t="s">
        <v>179</v>
      </c>
      <c r="B19" s="3"/>
      <c r="C19" s="3"/>
      <c r="D19" s="3"/>
      <c r="E19" s="3"/>
      <c r="F19" s="3"/>
      <c r="G19" s="3"/>
      <c r="H19" s="3"/>
      <c r="I19" s="105" t="s">
        <v>419</v>
      </c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6"/>
      <c r="U19" s="1455" t="s">
        <v>181</v>
      </c>
      <c r="V19" s="1428"/>
      <c r="W19" s="1428"/>
      <c r="X19" s="1582"/>
    </row>
    <row r="20" spans="1:24">
      <c r="A20" s="5" t="s">
        <v>182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 t="s">
        <v>6</v>
      </c>
      <c r="M20" s="195" t="s">
        <v>67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2"/>
    </row>
    <row r="21" spans="1:24">
      <c r="A21" s="1321" t="s">
        <v>718</v>
      </c>
      <c r="B21" s="1322"/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3"/>
    </row>
    <row r="22" spans="1:24">
      <c r="A22" s="1164" t="s">
        <v>719</v>
      </c>
      <c r="B22" s="1165"/>
      <c r="C22" s="1165"/>
      <c r="D22" s="1165"/>
      <c r="E22" s="1165"/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  <c r="R22" s="1165"/>
      <c r="S22" s="1165"/>
      <c r="T22" s="1165"/>
      <c r="U22" s="1165"/>
      <c r="V22" s="1165"/>
      <c r="W22" s="1165"/>
      <c r="X22" s="1393"/>
    </row>
    <row r="23" spans="1:24">
      <c r="A23" s="1321" t="s">
        <v>13</v>
      </c>
      <c r="B23" s="1322"/>
      <c r="C23" s="1322"/>
      <c r="D23" s="1322"/>
      <c r="E23" s="1322"/>
      <c r="F23" s="1322"/>
      <c r="G23" s="1322"/>
      <c r="H23" s="1322"/>
      <c r="I23" s="1322"/>
      <c r="J23" s="1322"/>
      <c r="K23" s="1322"/>
      <c r="L23" s="1394"/>
      <c r="M23" s="1395" t="s">
        <v>14</v>
      </c>
      <c r="N23" s="1396"/>
      <c r="O23" s="1396"/>
      <c r="P23" s="1397"/>
      <c r="Q23" s="1401" t="s">
        <v>121</v>
      </c>
      <c r="R23" s="1322"/>
      <c r="S23" s="1322"/>
      <c r="T23" s="1322"/>
      <c r="U23" s="1322"/>
      <c r="V23" s="1401" t="s">
        <v>15</v>
      </c>
      <c r="W23" s="1322"/>
      <c r="X23" s="1323"/>
    </row>
    <row r="24" spans="1:24">
      <c r="A24" s="1164" t="s">
        <v>16</v>
      </c>
      <c r="B24" s="1165"/>
      <c r="C24" s="1165"/>
      <c r="D24" s="1165"/>
      <c r="E24" s="1165"/>
      <c r="F24" s="1165"/>
      <c r="G24" s="1165"/>
      <c r="H24" s="1165"/>
      <c r="I24" s="1165"/>
      <c r="J24" s="1165"/>
      <c r="K24" s="1165"/>
      <c r="L24" s="1166"/>
      <c r="M24" s="1398"/>
      <c r="N24" s="1173"/>
      <c r="O24" s="1173"/>
      <c r="P24" s="1174"/>
      <c r="Q24" s="82" t="s">
        <v>122</v>
      </c>
      <c r="R24" s="1399" t="s">
        <v>123</v>
      </c>
      <c r="S24" s="1403"/>
      <c r="T24" s="1399" t="s">
        <v>124</v>
      </c>
      <c r="U24" s="1403"/>
      <c r="V24" s="1436" t="s">
        <v>17</v>
      </c>
      <c r="W24" s="1165"/>
      <c r="X24" s="1393"/>
    </row>
    <row r="25" spans="1:24">
      <c r="A25" s="1418">
        <v>1</v>
      </c>
      <c r="B25" s="1400"/>
      <c r="C25" s="1400"/>
      <c r="D25" s="1400"/>
      <c r="E25" s="1400"/>
      <c r="F25" s="1400"/>
      <c r="G25" s="1400"/>
      <c r="H25" s="1400"/>
      <c r="I25" s="1400"/>
      <c r="J25" s="1400"/>
      <c r="K25" s="1400"/>
      <c r="L25" s="1403"/>
      <c r="M25" s="1399">
        <v>2</v>
      </c>
      <c r="N25" s="1400"/>
      <c r="O25" s="1400"/>
      <c r="P25" s="1403"/>
      <c r="Q25" s="90">
        <v>3</v>
      </c>
      <c r="R25" s="1399">
        <v>4</v>
      </c>
      <c r="S25" s="1403"/>
      <c r="T25" s="1399">
        <v>5</v>
      </c>
      <c r="U25" s="1403"/>
      <c r="V25" s="1399">
        <v>6</v>
      </c>
      <c r="W25" s="1400"/>
      <c r="X25" s="1405"/>
    </row>
    <row r="26" spans="1:24">
      <c r="A26" s="1548" t="s">
        <v>753</v>
      </c>
      <c r="B26" s="1549"/>
      <c r="C26" s="1549"/>
      <c r="D26" s="1549"/>
      <c r="E26" s="1549"/>
      <c r="F26" s="1549"/>
      <c r="G26" s="1549"/>
      <c r="H26" s="1549"/>
      <c r="I26" s="1549"/>
      <c r="J26" s="1549"/>
      <c r="K26" s="1549"/>
      <c r="L26" s="1550"/>
      <c r="M26" s="1420" t="s">
        <v>551</v>
      </c>
      <c r="N26" s="1420"/>
      <c r="O26" s="1420"/>
      <c r="P26" s="1420"/>
      <c r="Q26" s="363"/>
      <c r="R26" s="363"/>
      <c r="S26" s="357"/>
      <c r="T26" s="356"/>
      <c r="U26" s="356"/>
      <c r="V26" s="1581">
        <f>V27</f>
        <v>2500000</v>
      </c>
      <c r="W26" s="1322"/>
      <c r="X26" s="1323"/>
    </row>
    <row r="27" spans="1:24">
      <c r="A27" s="1467" t="s">
        <v>754</v>
      </c>
      <c r="B27" s="1355"/>
      <c r="C27" s="1355"/>
      <c r="D27" s="1355"/>
      <c r="E27" s="1355"/>
      <c r="F27" s="1355"/>
      <c r="G27" s="1355"/>
      <c r="H27" s="1355"/>
      <c r="I27" s="1355"/>
      <c r="J27" s="1355"/>
      <c r="K27" s="1355"/>
      <c r="L27" s="1356"/>
      <c r="M27" s="83" t="s">
        <v>23</v>
      </c>
      <c r="N27" s="84"/>
      <c r="O27" s="84"/>
      <c r="P27" s="85"/>
      <c r="Q27" s="83"/>
      <c r="R27" s="83"/>
      <c r="S27" s="85"/>
      <c r="T27" s="84"/>
      <c r="U27" s="84"/>
      <c r="V27" s="1468">
        <f>V28+V43</f>
        <v>2500000</v>
      </c>
      <c r="W27" s="1424"/>
      <c r="X27" s="1425"/>
    </row>
    <row r="28" spans="1:24">
      <c r="A28" s="1467" t="s">
        <v>712</v>
      </c>
      <c r="B28" s="1355"/>
      <c r="C28" s="1355"/>
      <c r="D28" s="1355"/>
      <c r="E28" s="1355"/>
      <c r="F28" s="1355"/>
      <c r="G28" s="1355"/>
      <c r="H28" s="1355"/>
      <c r="I28" s="1355"/>
      <c r="J28" s="1355"/>
      <c r="K28" s="1355"/>
      <c r="L28" s="1356"/>
      <c r="M28" s="83" t="s">
        <v>24</v>
      </c>
      <c r="N28" s="84"/>
      <c r="O28" s="84"/>
      <c r="P28" s="85"/>
      <c r="Q28" s="83"/>
      <c r="R28" s="83"/>
      <c r="S28" s="85"/>
      <c r="T28" s="84"/>
      <c r="U28" s="84"/>
      <c r="V28" s="1468">
        <f>V29</f>
        <v>2500000</v>
      </c>
      <c r="W28" s="1424"/>
      <c r="X28" s="1425"/>
    </row>
    <row r="29" spans="1:24">
      <c r="A29" s="1354" t="s">
        <v>713</v>
      </c>
      <c r="B29" s="1355"/>
      <c r="C29" s="1355"/>
      <c r="D29" s="1355"/>
      <c r="E29" s="1355"/>
      <c r="F29" s="1355"/>
      <c r="G29" s="1355"/>
      <c r="H29" s="1355"/>
      <c r="I29" s="1355"/>
      <c r="J29" s="1355"/>
      <c r="K29" s="1355"/>
      <c r="L29" s="1356"/>
      <c r="M29" s="83" t="s">
        <v>204</v>
      </c>
      <c r="N29" s="84"/>
      <c r="O29" s="84"/>
      <c r="P29" s="85"/>
      <c r="Q29" s="83"/>
      <c r="R29" s="83"/>
      <c r="S29" s="85"/>
      <c r="T29" s="84"/>
      <c r="U29" s="84"/>
      <c r="V29" s="1468">
        <f>V30+V35+V38</f>
        <v>2500000</v>
      </c>
      <c r="W29" s="1424"/>
      <c r="X29" s="1425"/>
    </row>
    <row r="30" spans="1:24" ht="30.75" customHeight="1">
      <c r="A30" s="1948" t="s">
        <v>714</v>
      </c>
      <c r="B30" s="1949"/>
      <c r="C30" s="1949"/>
      <c r="D30" s="1949"/>
      <c r="E30" s="1949"/>
      <c r="F30" s="1949"/>
      <c r="G30" s="1949"/>
      <c r="H30" s="1949"/>
      <c r="I30" s="1949"/>
      <c r="J30" s="1949"/>
      <c r="K30" s="1949"/>
      <c r="L30" s="1950"/>
      <c r="M30" s="1951" t="s">
        <v>411</v>
      </c>
      <c r="N30" s="1952"/>
      <c r="O30" s="1952"/>
      <c r="P30" s="1953"/>
      <c r="Q30" s="35"/>
      <c r="R30" s="35"/>
      <c r="S30" s="36"/>
      <c r="T30" s="195"/>
      <c r="U30" s="195"/>
      <c r="V30" s="1954">
        <f>V31+V32+V33</f>
        <v>2500000</v>
      </c>
      <c r="W30" s="1955"/>
      <c r="X30" s="1956"/>
    </row>
    <row r="31" spans="1:24">
      <c r="A31" s="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36"/>
      <c r="M31" s="63" t="s">
        <v>420</v>
      </c>
      <c r="N31" s="195"/>
      <c r="O31" s="195"/>
      <c r="P31" s="36"/>
      <c r="Q31" s="35">
        <v>50</v>
      </c>
      <c r="R31" s="1147" t="s">
        <v>434</v>
      </c>
      <c r="S31" s="1148"/>
      <c r="T31" s="1689">
        <v>30000</v>
      </c>
      <c r="U31" s="1690"/>
      <c r="V31" s="1598">
        <f>T31*Q31</f>
        <v>1500000</v>
      </c>
      <c r="W31" s="1422"/>
      <c r="X31" s="1423"/>
    </row>
    <row r="32" spans="1:24">
      <c r="A32" s="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36"/>
      <c r="M32" s="63" t="s">
        <v>421</v>
      </c>
      <c r="N32" s="195"/>
      <c r="O32" s="195"/>
      <c r="P32" s="36"/>
      <c r="Q32" s="35">
        <v>66</v>
      </c>
      <c r="R32" s="1147" t="s">
        <v>434</v>
      </c>
      <c r="S32" s="1148"/>
      <c r="T32" s="1689">
        <v>15000</v>
      </c>
      <c r="U32" s="1690"/>
      <c r="V32" s="1598">
        <f>T32*Q32</f>
        <v>990000</v>
      </c>
      <c r="W32" s="1422"/>
      <c r="X32" s="1423"/>
    </row>
    <row r="33" spans="1:24">
      <c r="A33" s="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36"/>
      <c r="M33" s="35" t="s">
        <v>583</v>
      </c>
      <c r="N33" s="195"/>
      <c r="O33" s="195"/>
      <c r="P33" s="36"/>
      <c r="Q33" s="35"/>
      <c r="R33" s="1147"/>
      <c r="S33" s="1148"/>
      <c r="T33" s="1689"/>
      <c r="U33" s="1690"/>
      <c r="V33" s="1687">
        <v>10000</v>
      </c>
      <c r="W33" s="1957"/>
      <c r="X33" s="1958"/>
    </row>
    <row r="34" spans="1:24">
      <c r="A34" s="5"/>
      <c r="B34" s="57"/>
      <c r="C34" s="195"/>
      <c r="D34" s="57"/>
      <c r="E34" s="57"/>
      <c r="F34" s="57"/>
      <c r="G34" s="57"/>
      <c r="H34" s="57"/>
      <c r="I34" s="195"/>
      <c r="J34" s="195"/>
      <c r="K34" s="57"/>
      <c r="L34" s="62"/>
      <c r="M34" s="63"/>
      <c r="N34" s="195"/>
      <c r="O34" s="195"/>
      <c r="P34" s="36"/>
      <c r="Q34" s="35"/>
      <c r="R34" s="1147"/>
      <c r="S34" s="1148"/>
      <c r="T34" s="1349"/>
      <c r="U34" s="1350"/>
      <c r="V34" s="1349"/>
      <c r="W34" s="1352"/>
      <c r="X34" s="1353"/>
    </row>
    <row r="35" spans="1:24">
      <c r="A35" s="5"/>
      <c r="B35" s="61"/>
      <c r="C35" s="45"/>
      <c r="D35" s="61"/>
      <c r="E35" s="61"/>
      <c r="F35" s="61"/>
      <c r="G35" s="61"/>
      <c r="H35" s="61"/>
      <c r="I35" s="45"/>
      <c r="J35" s="45"/>
      <c r="K35" s="57"/>
      <c r="L35" s="62"/>
      <c r="M35" s="63"/>
      <c r="N35" s="195"/>
      <c r="O35" s="195"/>
      <c r="P35" s="36"/>
      <c r="Q35" s="35"/>
      <c r="R35" s="1147"/>
      <c r="S35" s="1148"/>
      <c r="T35" s="195"/>
      <c r="U35" s="195"/>
      <c r="V35" s="1349"/>
      <c r="W35" s="1352"/>
      <c r="X35" s="1353"/>
    </row>
    <row r="36" spans="1:24">
      <c r="A36" s="5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36"/>
      <c r="M36" s="63"/>
      <c r="N36" s="195"/>
      <c r="O36" s="195"/>
      <c r="P36" s="36"/>
      <c r="Q36" s="35"/>
      <c r="R36" s="1147"/>
      <c r="S36" s="1148"/>
      <c r="T36" s="1689"/>
      <c r="U36" s="1690"/>
      <c r="V36" s="1687"/>
      <c r="W36" s="1957"/>
      <c r="X36" s="1958"/>
    </row>
    <row r="37" spans="1:24">
      <c r="A37" s="5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36"/>
      <c r="M37" s="63"/>
      <c r="N37" s="195"/>
      <c r="O37" s="195"/>
      <c r="P37" s="36"/>
      <c r="Q37" s="35"/>
      <c r="R37" s="1147"/>
      <c r="S37" s="1148"/>
      <c r="T37" s="1349"/>
      <c r="U37" s="1350"/>
      <c r="V37" s="1349"/>
      <c r="W37" s="1352"/>
      <c r="X37" s="1353"/>
    </row>
    <row r="38" spans="1:24">
      <c r="A38" s="5"/>
      <c r="B38" s="57"/>
      <c r="C38" s="195"/>
      <c r="D38" s="57"/>
      <c r="E38" s="57"/>
      <c r="F38" s="57"/>
      <c r="G38" s="57"/>
      <c r="H38" s="57"/>
      <c r="I38" s="195"/>
      <c r="J38" s="195"/>
      <c r="K38" s="57"/>
      <c r="L38" s="62"/>
      <c r="M38" s="35"/>
      <c r="N38" s="195"/>
      <c r="O38" s="195"/>
      <c r="P38" s="36"/>
      <c r="Q38" s="35"/>
      <c r="R38" s="35"/>
      <c r="S38" s="36"/>
      <c r="T38" s="195"/>
      <c r="U38" s="195"/>
      <c r="V38" s="1687"/>
      <c r="W38" s="1957"/>
      <c r="X38" s="1958"/>
    </row>
    <row r="39" spans="1:24">
      <c r="A39" s="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36"/>
      <c r="M39" s="63"/>
      <c r="N39" s="195"/>
      <c r="O39" s="195"/>
      <c r="P39" s="36"/>
      <c r="Q39" s="35"/>
      <c r="R39" s="35"/>
      <c r="S39" s="36"/>
      <c r="T39" s="1689"/>
      <c r="U39" s="1690"/>
      <c r="V39" s="1687"/>
      <c r="W39" s="1146"/>
      <c r="X39" s="1149"/>
    </row>
    <row r="40" spans="1:24">
      <c r="A40" s="5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36"/>
      <c r="M40" s="63"/>
      <c r="N40" s="195"/>
      <c r="O40" s="195"/>
      <c r="P40" s="36"/>
      <c r="Q40" s="35"/>
      <c r="R40" s="35"/>
      <c r="S40" s="36"/>
      <c r="T40" s="195"/>
      <c r="U40" s="195"/>
      <c r="V40" s="35"/>
      <c r="W40" s="195"/>
      <c r="X40" s="2"/>
    </row>
    <row r="41" spans="1:24">
      <c r="A41" s="5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36"/>
      <c r="M41" s="63"/>
      <c r="N41" s="195"/>
      <c r="O41" s="195"/>
      <c r="P41" s="36"/>
      <c r="Q41" s="35"/>
      <c r="R41" s="35"/>
      <c r="S41" s="36"/>
      <c r="T41" s="195"/>
      <c r="U41" s="195"/>
      <c r="V41" s="35"/>
      <c r="W41" s="195"/>
      <c r="X41" s="2"/>
    </row>
    <row r="42" spans="1:24">
      <c r="A42" s="5"/>
      <c r="B42" s="57"/>
      <c r="C42" s="195"/>
      <c r="D42" s="57"/>
      <c r="E42" s="57"/>
      <c r="F42" s="57"/>
      <c r="G42" s="57"/>
      <c r="H42" s="57"/>
      <c r="I42" s="195"/>
      <c r="J42" s="195"/>
      <c r="K42" s="57"/>
      <c r="L42" s="62"/>
      <c r="M42" s="63"/>
      <c r="N42" s="195"/>
      <c r="O42" s="195"/>
      <c r="P42" s="36"/>
      <c r="Q42" s="35"/>
      <c r="R42" s="35"/>
      <c r="S42" s="36"/>
      <c r="T42" s="195"/>
      <c r="U42" s="195"/>
      <c r="V42" s="35"/>
      <c r="W42" s="195"/>
      <c r="X42" s="2"/>
    </row>
    <row r="43" spans="1:24">
      <c r="A43" s="143"/>
      <c r="B43" s="144"/>
      <c r="C43" s="84"/>
      <c r="D43" s="144"/>
      <c r="E43" s="144"/>
      <c r="F43" s="144"/>
      <c r="G43" s="144"/>
      <c r="H43" s="144"/>
      <c r="I43" s="84"/>
      <c r="J43" s="84"/>
      <c r="K43" s="195"/>
      <c r="L43" s="36"/>
      <c r="M43" s="92"/>
      <c r="N43" s="195"/>
      <c r="O43" s="195"/>
      <c r="P43" s="36"/>
      <c r="Q43" s="35"/>
      <c r="R43" s="35"/>
      <c r="S43" s="36"/>
      <c r="T43" s="195"/>
      <c r="U43" s="195"/>
      <c r="V43" s="1147"/>
      <c r="W43" s="1146"/>
      <c r="X43" s="1149"/>
    </row>
    <row r="44" spans="1:24">
      <c r="A44" s="143"/>
      <c r="B44" s="144"/>
      <c r="C44" s="84"/>
      <c r="D44" s="144"/>
      <c r="E44" s="144"/>
      <c r="F44" s="144"/>
      <c r="G44" s="144"/>
      <c r="H44" s="144"/>
      <c r="I44" s="84"/>
      <c r="J44" s="84"/>
      <c r="K44" s="144"/>
      <c r="L44" s="36"/>
      <c r="M44" s="92"/>
      <c r="N44" s="195"/>
      <c r="O44" s="195"/>
      <c r="P44" s="36"/>
      <c r="Q44" s="35"/>
      <c r="R44" s="35"/>
      <c r="S44" s="36"/>
      <c r="T44" s="195"/>
      <c r="U44" s="195"/>
      <c r="V44" s="35"/>
      <c r="W44" s="195"/>
      <c r="X44" s="2"/>
    </row>
    <row r="45" spans="1:24">
      <c r="A45" s="46"/>
      <c r="B45" s="67"/>
      <c r="C45" s="66"/>
      <c r="D45" s="67"/>
      <c r="E45" s="67"/>
      <c r="F45" s="67"/>
      <c r="G45" s="67"/>
      <c r="H45" s="67"/>
      <c r="I45" s="66"/>
      <c r="J45" s="66"/>
      <c r="K45" s="57"/>
      <c r="L45" s="62"/>
      <c r="M45" s="93"/>
      <c r="N45" s="195"/>
      <c r="O45" s="195"/>
      <c r="P45" s="36"/>
      <c r="Q45" s="35"/>
      <c r="R45" s="35"/>
      <c r="S45" s="36"/>
      <c r="T45" s="1689"/>
      <c r="U45" s="1690"/>
      <c r="V45" s="1689"/>
      <c r="W45" s="1918"/>
      <c r="X45" s="1919"/>
    </row>
    <row r="46" spans="1:24">
      <c r="A46" s="5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36"/>
      <c r="M46" s="35"/>
      <c r="N46" s="195"/>
      <c r="O46" s="195"/>
      <c r="P46" s="36"/>
      <c r="Q46" s="35"/>
      <c r="R46" s="35"/>
      <c r="S46" s="36"/>
      <c r="T46" s="195"/>
      <c r="U46" s="195"/>
      <c r="V46" s="35"/>
      <c r="W46" s="195"/>
      <c r="X46" s="2"/>
    </row>
    <row r="47" spans="1:24">
      <c r="A47" s="1150" t="s">
        <v>110</v>
      </c>
      <c r="B47" s="1151"/>
      <c r="C47" s="1151"/>
      <c r="D47" s="1151"/>
      <c r="E47" s="1151"/>
      <c r="F47" s="1151"/>
      <c r="G47" s="1151"/>
      <c r="H47" s="1151"/>
      <c r="I47" s="1151"/>
      <c r="J47" s="1151"/>
      <c r="K47" s="1151"/>
      <c r="L47" s="1151"/>
      <c r="M47" s="1151"/>
      <c r="N47" s="1151"/>
      <c r="O47" s="1151"/>
      <c r="P47" s="1151"/>
      <c r="Q47" s="1151"/>
      <c r="R47" s="1151"/>
      <c r="S47" s="1151"/>
      <c r="T47" s="1151"/>
      <c r="U47" s="1152"/>
      <c r="V47" s="1595">
        <f>V31+V32+V33</f>
        <v>2500000</v>
      </c>
      <c r="W47" s="1596"/>
      <c r="X47" s="1597"/>
    </row>
    <row r="48" spans="1:24">
      <c r="A48" s="5" t="s">
        <v>105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147" t="s">
        <v>438</v>
      </c>
      <c r="S48" s="1146"/>
      <c r="T48" s="1146"/>
      <c r="U48" s="1146"/>
      <c r="V48" s="1146"/>
      <c r="W48" s="1146"/>
      <c r="X48" s="1149"/>
    </row>
    <row r="49" spans="1:24">
      <c r="A49" s="5" t="s">
        <v>106</v>
      </c>
      <c r="B49" s="195"/>
      <c r="C49" s="195"/>
      <c r="D49" s="195"/>
      <c r="E49" s="195" t="s">
        <v>6</v>
      </c>
      <c r="F49" s="1959">
        <v>1000000</v>
      </c>
      <c r="G49" s="1959"/>
      <c r="H49" s="1959"/>
      <c r="I49" s="1959"/>
      <c r="J49" s="1959"/>
      <c r="K49" s="1959"/>
      <c r="L49" s="1959"/>
      <c r="M49" s="195"/>
      <c r="N49" s="195"/>
      <c r="O49" s="195"/>
      <c r="P49" s="195"/>
      <c r="Q49" s="195"/>
      <c r="R49" s="1147" t="s">
        <v>439</v>
      </c>
      <c r="S49" s="1146"/>
      <c r="T49" s="1146"/>
      <c r="U49" s="1146"/>
      <c r="V49" s="1146"/>
      <c r="W49" s="1146"/>
      <c r="X49" s="1149"/>
    </row>
    <row r="50" spans="1:24">
      <c r="A50" s="5" t="s">
        <v>107</v>
      </c>
      <c r="B50" s="195"/>
      <c r="C50" s="195"/>
      <c r="D50" s="195"/>
      <c r="E50" s="195" t="s">
        <v>6</v>
      </c>
      <c r="F50" s="1959">
        <v>1000000</v>
      </c>
      <c r="G50" s="1959"/>
      <c r="H50" s="1959"/>
      <c r="I50" s="1959"/>
      <c r="J50" s="1959"/>
      <c r="K50" s="1959"/>
      <c r="L50" s="1959"/>
      <c r="M50" s="195"/>
      <c r="N50" s="195"/>
      <c r="O50" s="195"/>
      <c r="P50" s="195"/>
      <c r="Q50" s="195"/>
      <c r="R50" s="35"/>
      <c r="S50" s="1146" t="s">
        <v>537</v>
      </c>
      <c r="T50" s="1146"/>
      <c r="U50" s="1146"/>
      <c r="V50" s="1146"/>
      <c r="W50" s="1146"/>
      <c r="X50" s="2"/>
    </row>
    <row r="51" spans="1:24">
      <c r="A51" s="5" t="s">
        <v>108</v>
      </c>
      <c r="B51" s="195"/>
      <c r="C51" s="195"/>
      <c r="D51" s="195"/>
      <c r="E51" s="195" t="s">
        <v>6</v>
      </c>
      <c r="F51" s="1959">
        <v>500000</v>
      </c>
      <c r="G51" s="1959"/>
      <c r="H51" s="1959"/>
      <c r="I51" s="1959"/>
      <c r="J51" s="1959"/>
      <c r="K51" s="1959"/>
      <c r="L51" s="1959"/>
      <c r="M51" s="195"/>
      <c r="N51" s="195"/>
      <c r="O51" s="195"/>
      <c r="P51" s="195"/>
      <c r="Q51" s="195"/>
      <c r="R51" s="35"/>
      <c r="S51" s="195"/>
      <c r="T51" s="195"/>
      <c r="U51" s="195"/>
      <c r="V51" s="195"/>
      <c r="W51" s="195"/>
      <c r="X51" s="2"/>
    </row>
    <row r="52" spans="1:24" ht="16.5">
      <c r="A52" s="5" t="s">
        <v>109</v>
      </c>
      <c r="B52" s="195"/>
      <c r="C52" s="195"/>
      <c r="D52" s="195"/>
      <c r="E52" s="195" t="s">
        <v>6</v>
      </c>
      <c r="F52" s="1894">
        <v>0</v>
      </c>
      <c r="G52" s="1894"/>
      <c r="H52" s="1894"/>
      <c r="I52" s="1894"/>
      <c r="J52" s="1894"/>
      <c r="K52" s="1894"/>
      <c r="L52" s="1894"/>
      <c r="M52" s="195"/>
      <c r="N52" s="195"/>
      <c r="O52" s="195"/>
      <c r="P52" s="195"/>
      <c r="Q52" s="195"/>
      <c r="R52" s="35"/>
      <c r="S52" s="195"/>
      <c r="T52" s="195"/>
      <c r="U52" s="195"/>
      <c r="V52" s="195"/>
      <c r="W52" s="195"/>
      <c r="X52" s="2"/>
    </row>
    <row r="53" spans="1:24">
      <c r="A53" s="5" t="s">
        <v>15</v>
      </c>
      <c r="B53" s="195"/>
      <c r="C53" s="195"/>
      <c r="D53" s="195"/>
      <c r="E53" s="195" t="s">
        <v>6</v>
      </c>
      <c r="F53" s="1960">
        <f>SUM(F49:L52)</f>
        <v>2500000</v>
      </c>
      <c r="G53" s="1960"/>
      <c r="H53" s="1960"/>
      <c r="I53" s="1960"/>
      <c r="J53" s="1960"/>
      <c r="K53" s="1960"/>
      <c r="L53" s="1960"/>
      <c r="M53" s="195"/>
      <c r="N53" s="195"/>
      <c r="O53" s="195"/>
      <c r="P53" s="195"/>
      <c r="Q53" s="195"/>
      <c r="R53" s="1427" t="s">
        <v>192</v>
      </c>
      <c r="S53" s="1357"/>
      <c r="T53" s="1357"/>
      <c r="U53" s="1357"/>
      <c r="V53" s="1357"/>
      <c r="W53" s="1357"/>
      <c r="X53" s="1358"/>
    </row>
    <row r="54" spans="1:24">
      <c r="A54" s="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456" t="s">
        <v>112</v>
      </c>
      <c r="S54" s="1146"/>
      <c r="T54" s="1146"/>
      <c r="U54" s="1146"/>
      <c r="V54" s="1146"/>
      <c r="W54" s="1146"/>
      <c r="X54" s="1149"/>
    </row>
    <row r="55" spans="1:24">
      <c r="A55" s="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3"/>
      <c r="R55" s="1455"/>
      <c r="S55" s="1143"/>
      <c r="T55" s="1143"/>
      <c r="U55" s="1143"/>
      <c r="V55" s="1143"/>
      <c r="W55" s="1143"/>
      <c r="X55" s="1144"/>
    </row>
    <row r="56" spans="1:24">
      <c r="A56" s="1418" t="s">
        <v>113</v>
      </c>
      <c r="B56" s="1400"/>
      <c r="C56" s="1400"/>
      <c r="D56" s="1400"/>
      <c r="E56" s="1400"/>
      <c r="F56" s="1400"/>
      <c r="G56" s="1400"/>
      <c r="H56" s="1400"/>
      <c r="I56" s="1400"/>
      <c r="J56" s="1400"/>
      <c r="K56" s="1400"/>
      <c r="L56" s="1400"/>
      <c r="M56" s="1400"/>
      <c r="N56" s="1400"/>
      <c r="O56" s="1400"/>
      <c r="P56" s="1400"/>
      <c r="Q56" s="3"/>
      <c r="R56" s="1456" t="s">
        <v>538</v>
      </c>
      <c r="S56" s="1146"/>
      <c r="T56" s="1146"/>
      <c r="U56" s="1146"/>
      <c r="V56" s="1146"/>
      <c r="W56" s="1146"/>
      <c r="X56" s="1149"/>
    </row>
    <row r="57" spans="1:24">
      <c r="A57" s="266"/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195"/>
      <c r="R57" s="306"/>
      <c r="S57" s="308"/>
      <c r="T57" s="308"/>
      <c r="U57" s="308"/>
      <c r="V57" s="308"/>
      <c r="W57" s="308"/>
      <c r="X57" s="307"/>
    </row>
    <row r="58" spans="1:24">
      <c r="A58" s="5">
        <v>1</v>
      </c>
      <c r="B58" s="195" t="s">
        <v>460</v>
      </c>
      <c r="C58" s="195"/>
      <c r="D58" s="195"/>
      <c r="E58" s="195"/>
      <c r="F58" s="195"/>
      <c r="G58" s="195"/>
      <c r="H58" s="195"/>
      <c r="I58" s="195"/>
      <c r="J58" s="195"/>
      <c r="K58" s="195" t="s">
        <v>193</v>
      </c>
      <c r="L58" s="195"/>
      <c r="M58" s="195"/>
      <c r="N58" s="195"/>
      <c r="O58" s="195"/>
      <c r="P58" s="195"/>
      <c r="Q58" s="195"/>
      <c r="R58" s="1147" t="s">
        <v>155</v>
      </c>
      <c r="S58" s="1146"/>
      <c r="T58" s="1146"/>
      <c r="U58" s="1146"/>
      <c r="V58" s="1146"/>
      <c r="W58" s="1146"/>
      <c r="X58" s="1149"/>
    </row>
    <row r="59" spans="1:24">
      <c r="A59" s="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147" t="s">
        <v>114</v>
      </c>
      <c r="S59" s="1146"/>
      <c r="T59" s="1146"/>
      <c r="U59" s="1146"/>
      <c r="V59" s="1146"/>
      <c r="W59" s="1146"/>
      <c r="X59" s="1149"/>
    </row>
    <row r="60" spans="1:24">
      <c r="A60" s="5">
        <v>2</v>
      </c>
      <c r="B60" s="195" t="s">
        <v>194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 t="s">
        <v>195</v>
      </c>
      <c r="O60" s="195"/>
      <c r="P60" s="195"/>
      <c r="Q60" s="195"/>
      <c r="R60" s="35"/>
      <c r="S60" s="195"/>
      <c r="T60" s="195"/>
      <c r="U60" s="195"/>
      <c r="V60" s="195"/>
      <c r="W60" s="195"/>
      <c r="X60" s="2"/>
    </row>
    <row r="61" spans="1:24">
      <c r="A61" s="5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35"/>
      <c r="S61" s="195"/>
      <c r="T61" s="195"/>
      <c r="U61" s="195"/>
      <c r="V61" s="195"/>
      <c r="W61" s="195"/>
      <c r="X61" s="2"/>
    </row>
    <row r="62" spans="1:24">
      <c r="A62" s="5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35"/>
      <c r="S62" s="195"/>
      <c r="T62" s="195"/>
      <c r="U62" s="195"/>
      <c r="V62" s="195"/>
      <c r="W62" s="195"/>
      <c r="X62" s="2"/>
    </row>
    <row r="63" spans="1:24">
      <c r="A63" s="5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427" t="s">
        <v>115</v>
      </c>
      <c r="S63" s="1357"/>
      <c r="T63" s="1357"/>
      <c r="U63" s="1357"/>
      <c r="V63" s="1357"/>
      <c r="W63" s="1357"/>
      <c r="X63" s="1358"/>
    </row>
    <row r="64" spans="1:24">
      <c r="A64" s="5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456" t="s">
        <v>444</v>
      </c>
      <c r="S64" s="1359"/>
      <c r="T64" s="1359"/>
      <c r="U64" s="1359"/>
      <c r="V64" s="1359"/>
      <c r="W64" s="1359"/>
      <c r="X64" s="1360"/>
    </row>
    <row r="65" spans="1:24">
      <c r="A65" s="5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147" t="s">
        <v>116</v>
      </c>
      <c r="S65" s="1146"/>
      <c r="T65" s="1146"/>
      <c r="U65" s="1146"/>
      <c r="V65" s="1146"/>
      <c r="W65" s="1146"/>
      <c r="X65" s="1149"/>
    </row>
    <row r="66" spans="1:24" ht="15.75" thickBot="1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50"/>
      <c r="S66" s="49"/>
      <c r="T66" s="49"/>
      <c r="U66" s="49"/>
      <c r="V66" s="49"/>
      <c r="W66" s="49"/>
      <c r="X66" s="86"/>
    </row>
  </sheetData>
  <mergeCells count="96">
    <mergeCell ref="A26:L26"/>
    <mergeCell ref="M26:P26"/>
    <mergeCell ref="V26:X26"/>
    <mergeCell ref="R63:X63"/>
    <mergeCell ref="R64:X64"/>
    <mergeCell ref="F49:L49"/>
    <mergeCell ref="R49:X49"/>
    <mergeCell ref="F50:L50"/>
    <mergeCell ref="F51:L51"/>
    <mergeCell ref="F52:L52"/>
    <mergeCell ref="F53:L53"/>
    <mergeCell ref="R53:X53"/>
    <mergeCell ref="S50:W50"/>
    <mergeCell ref="R48:X48"/>
    <mergeCell ref="R37:S37"/>
    <mergeCell ref="T37:U37"/>
    <mergeCell ref="R65:X65"/>
    <mergeCell ref="R54:X54"/>
    <mergeCell ref="R55:X55"/>
    <mergeCell ref="A56:P56"/>
    <mergeCell ref="R56:X56"/>
    <mergeCell ref="R58:X58"/>
    <mergeCell ref="R59:X59"/>
    <mergeCell ref="T45:U45"/>
    <mergeCell ref="V45:X45"/>
    <mergeCell ref="A47:U47"/>
    <mergeCell ref="V47:X47"/>
    <mergeCell ref="R36:S36"/>
    <mergeCell ref="T36:U36"/>
    <mergeCell ref="V36:X36"/>
    <mergeCell ref="V37:X37"/>
    <mergeCell ref="V38:X38"/>
    <mergeCell ref="T39:U39"/>
    <mergeCell ref="V39:X39"/>
    <mergeCell ref="V43:X43"/>
    <mergeCell ref="R32:S32"/>
    <mergeCell ref="T32:U32"/>
    <mergeCell ref="V32:X32"/>
    <mergeCell ref="R33:S33"/>
    <mergeCell ref="T33:U33"/>
    <mergeCell ref="V33:X33"/>
    <mergeCell ref="R34:S34"/>
    <mergeCell ref="T34:U34"/>
    <mergeCell ref="V34:X34"/>
    <mergeCell ref="R35:S35"/>
    <mergeCell ref="V35:X35"/>
    <mergeCell ref="R31:S31"/>
    <mergeCell ref="T31:U31"/>
    <mergeCell ref="V31:X31"/>
    <mergeCell ref="A27:L27"/>
    <mergeCell ref="V27:X27"/>
    <mergeCell ref="A28:L28"/>
    <mergeCell ref="V28:X28"/>
    <mergeCell ref="A29:L29"/>
    <mergeCell ref="V29:X29"/>
    <mergeCell ref="A30:L30"/>
    <mergeCell ref="M30:P30"/>
    <mergeCell ref="V30:X30"/>
    <mergeCell ref="A25:L25"/>
    <mergeCell ref="M25:P25"/>
    <mergeCell ref="R25:S25"/>
    <mergeCell ref="T25:U25"/>
    <mergeCell ref="V25:X25"/>
    <mergeCell ref="U19:X19"/>
    <mergeCell ref="A21:X21"/>
    <mergeCell ref="A22:X22"/>
    <mergeCell ref="A23:L23"/>
    <mergeCell ref="M23:P24"/>
    <mergeCell ref="Q23:U23"/>
    <mergeCell ref="V23:X23"/>
    <mergeCell ref="A24:L24"/>
    <mergeCell ref="R24:S24"/>
    <mergeCell ref="T24:U24"/>
    <mergeCell ref="V24:X24"/>
    <mergeCell ref="U18:X18"/>
    <mergeCell ref="U3:U4"/>
    <mergeCell ref="V3:V4"/>
    <mergeCell ref="W3:X4"/>
    <mergeCell ref="A5:X5"/>
    <mergeCell ref="A6:X6"/>
    <mergeCell ref="A14:X14"/>
    <mergeCell ref="A15:F15"/>
    <mergeCell ref="I15:T15"/>
    <mergeCell ref="U15:X15"/>
    <mergeCell ref="U16:X16"/>
    <mergeCell ref="V17:X17"/>
    <mergeCell ref="A1:O2"/>
    <mergeCell ref="P1:V2"/>
    <mergeCell ref="W1:X1"/>
    <mergeCell ref="W2:X2"/>
    <mergeCell ref="A3:O4"/>
    <mergeCell ref="P3:P4"/>
    <mergeCell ref="Q3:Q4"/>
    <mergeCell ref="R3:R4"/>
    <mergeCell ref="S3:S4"/>
    <mergeCell ref="T3:T4"/>
  </mergeCells>
  <pageMargins left="0.7" right="0.7" top="0.75" bottom="0.75" header="0.3" footer="0.3"/>
  <pageSetup paperSize="5" scale="80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X71"/>
  <sheetViews>
    <sheetView topLeftCell="A25" workbookViewId="0">
      <selection activeCell="AB39" sqref="AB39"/>
    </sheetView>
  </sheetViews>
  <sheetFormatPr defaultRowHeight="15"/>
  <cols>
    <col min="1" max="1" width="3" customWidth="1"/>
    <col min="2" max="2" width="3.140625" customWidth="1"/>
    <col min="3" max="3" width="3.42578125" customWidth="1"/>
    <col min="4" max="4" width="3.5703125" customWidth="1"/>
    <col min="5" max="5" width="2.5703125" customWidth="1"/>
    <col min="6" max="6" width="2" customWidth="1"/>
    <col min="7" max="7" width="3.42578125" customWidth="1"/>
    <col min="8" max="8" width="1.5703125" customWidth="1"/>
    <col min="9" max="9" width="2.42578125" customWidth="1"/>
    <col min="10" max="10" width="1.7109375" customWidth="1"/>
    <col min="11" max="11" width="2.140625" customWidth="1"/>
    <col min="12" max="12" width="1.42578125" customWidth="1"/>
    <col min="16" max="16" width="13.85546875" customWidth="1"/>
    <col min="17" max="17" width="8.28515625" customWidth="1"/>
    <col min="18" max="18" width="5" customWidth="1"/>
    <col min="19" max="19" width="5.85546875" customWidth="1"/>
    <col min="20" max="20" width="5" customWidth="1"/>
    <col min="21" max="22" width="5.85546875" customWidth="1"/>
    <col min="23" max="23" width="5.28515625" customWidth="1"/>
    <col min="24" max="24" width="5.42578125" customWidth="1"/>
  </cols>
  <sheetData>
    <row r="1" spans="1:24" ht="15" customHeight="1">
      <c r="A1" s="1386" t="s">
        <v>117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8"/>
      <c r="P1" s="1938" t="s">
        <v>118</v>
      </c>
      <c r="Q1" s="1626"/>
      <c r="R1" s="1626"/>
      <c r="S1" s="1626"/>
      <c r="T1" s="1626"/>
      <c r="U1" s="1626"/>
      <c r="V1" s="1627"/>
      <c r="W1" s="1452" t="s">
        <v>1</v>
      </c>
      <c r="X1" s="1453"/>
    </row>
    <row r="2" spans="1:24" ht="15" customHeight="1">
      <c r="A2" s="1389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1"/>
      <c r="P2" s="1939"/>
      <c r="Q2" s="1383"/>
      <c r="R2" s="1383"/>
      <c r="S2" s="1383"/>
      <c r="T2" s="1383"/>
      <c r="U2" s="1383"/>
      <c r="V2" s="1384"/>
      <c r="W2" s="1436" t="s">
        <v>3</v>
      </c>
      <c r="X2" s="1393"/>
    </row>
    <row r="3" spans="1:24" ht="15" customHeight="1">
      <c r="A3" s="1379" t="s">
        <v>2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1"/>
      <c r="P3" s="1940" t="s">
        <v>559</v>
      </c>
      <c r="Q3" s="1281" t="s">
        <v>559</v>
      </c>
      <c r="R3" s="1942" t="s">
        <v>157</v>
      </c>
      <c r="S3" s="1942" t="s">
        <v>157</v>
      </c>
      <c r="T3" s="1942" t="s">
        <v>352</v>
      </c>
      <c r="U3" s="1940" t="s">
        <v>158</v>
      </c>
      <c r="V3" s="1940" t="s">
        <v>159</v>
      </c>
      <c r="W3" s="1944" t="s">
        <v>160</v>
      </c>
      <c r="X3" s="1945"/>
    </row>
    <row r="4" spans="1:24" ht="15" customHeight="1">
      <c r="A4" s="1382"/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4"/>
      <c r="P4" s="1941"/>
      <c r="Q4" s="1284"/>
      <c r="R4" s="1941"/>
      <c r="S4" s="1943"/>
      <c r="T4" s="1943"/>
      <c r="U4" s="1941"/>
      <c r="V4" s="1941"/>
      <c r="W4" s="1946"/>
      <c r="X4" s="1947"/>
    </row>
    <row r="5" spans="1:24">
      <c r="A5" s="1321" t="s">
        <v>161</v>
      </c>
      <c r="B5" s="1322"/>
      <c r="C5" s="1322"/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3"/>
    </row>
    <row r="6" spans="1:24">
      <c r="A6" s="1324" t="s">
        <v>527</v>
      </c>
      <c r="B6" s="1325"/>
      <c r="C6" s="1325"/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6"/>
    </row>
    <row r="7" spans="1:24">
      <c r="A7" s="5" t="s">
        <v>5</v>
      </c>
      <c r="B7" s="1"/>
      <c r="C7" s="1"/>
      <c r="D7" s="1"/>
      <c r="E7" s="1"/>
      <c r="F7" s="1"/>
      <c r="G7" s="1"/>
      <c r="H7" s="1"/>
      <c r="I7" s="1"/>
      <c r="J7" s="1"/>
      <c r="K7" s="1" t="s">
        <v>6</v>
      </c>
      <c r="L7" s="195" t="s">
        <v>559</v>
      </c>
      <c r="M7" s="195"/>
      <c r="N7" s="1"/>
      <c r="O7" s="1"/>
      <c r="P7" s="1" t="s">
        <v>8</v>
      </c>
      <c r="R7" s="1"/>
      <c r="S7" s="1"/>
      <c r="T7" s="1"/>
      <c r="U7" s="1"/>
      <c r="V7" s="1"/>
      <c r="W7" s="1"/>
      <c r="X7" s="2"/>
    </row>
    <row r="8" spans="1:24">
      <c r="A8" s="5" t="s">
        <v>9</v>
      </c>
      <c r="B8" s="1"/>
      <c r="C8" s="1"/>
      <c r="D8" s="1"/>
      <c r="E8" s="1"/>
      <c r="F8" s="1"/>
      <c r="G8" s="1"/>
      <c r="H8" s="1"/>
      <c r="I8" s="1"/>
      <c r="J8" s="1"/>
      <c r="K8" s="1" t="s">
        <v>6</v>
      </c>
      <c r="L8" s="6" t="s">
        <v>529</v>
      </c>
      <c r="M8" s="6"/>
      <c r="N8" s="1"/>
      <c r="O8" s="1"/>
      <c r="P8" s="1" t="s">
        <v>11</v>
      </c>
      <c r="R8" s="1"/>
      <c r="S8" s="1"/>
      <c r="T8" s="1"/>
      <c r="U8" s="1"/>
      <c r="V8" s="1"/>
      <c r="W8" s="1"/>
      <c r="X8" s="2"/>
    </row>
    <row r="9" spans="1:24">
      <c r="A9" s="5" t="s">
        <v>162</v>
      </c>
      <c r="B9" s="1"/>
      <c r="C9" s="1"/>
      <c r="D9" s="1"/>
      <c r="E9" s="1"/>
      <c r="F9" s="1"/>
      <c r="G9" s="1"/>
      <c r="H9" s="1"/>
      <c r="I9" s="1"/>
      <c r="J9" s="1"/>
      <c r="K9" s="1" t="s">
        <v>6</v>
      </c>
      <c r="L9" s="230" t="s">
        <v>610</v>
      </c>
      <c r="M9" s="230"/>
      <c r="N9" s="1"/>
      <c r="O9" s="1"/>
      <c r="P9" s="1" t="s">
        <v>163</v>
      </c>
      <c r="R9" s="1"/>
      <c r="S9" s="1"/>
      <c r="T9" s="1"/>
      <c r="U9" s="1"/>
      <c r="V9" s="1"/>
      <c r="W9" s="1"/>
      <c r="X9" s="2"/>
    </row>
    <row r="10" spans="1:24">
      <c r="A10" s="5" t="s">
        <v>58</v>
      </c>
      <c r="B10" s="1"/>
      <c r="C10" s="1"/>
      <c r="D10" s="1"/>
      <c r="E10" s="1"/>
      <c r="F10" s="1"/>
      <c r="G10" s="1"/>
      <c r="H10" s="1"/>
      <c r="I10" s="1"/>
      <c r="J10" s="1"/>
      <c r="K10" s="1" t="s">
        <v>6</v>
      </c>
      <c r="L10" s="1" t="s">
        <v>626</v>
      </c>
      <c r="M10" s="1"/>
      <c r="N10" s="1"/>
      <c r="O10" s="1"/>
      <c r="P10" s="45" t="s">
        <v>91</v>
      </c>
      <c r="R10" s="1"/>
      <c r="S10" s="1"/>
      <c r="T10" s="1"/>
      <c r="U10" s="1"/>
      <c r="V10" s="1"/>
      <c r="W10" s="1"/>
      <c r="X10" s="2"/>
    </row>
    <row r="11" spans="1:24">
      <c r="A11" s="5" t="s">
        <v>164</v>
      </c>
      <c r="B11" s="1"/>
      <c r="C11" s="1"/>
      <c r="D11" s="1"/>
      <c r="E11" s="1"/>
      <c r="F11" s="1"/>
      <c r="G11" s="1"/>
      <c r="H11" s="1"/>
      <c r="I11" s="1"/>
      <c r="J11" s="1"/>
      <c r="K11" s="1" t="s">
        <v>6</v>
      </c>
      <c r="L11" s="1" t="s">
        <v>532</v>
      </c>
      <c r="M11" s="1"/>
      <c r="N11" s="1"/>
      <c r="O11" s="1"/>
      <c r="P11" s="1"/>
      <c r="Q11" s="45"/>
      <c r="R11" s="1"/>
      <c r="S11" s="1"/>
      <c r="T11" s="1"/>
      <c r="U11" s="1"/>
      <c r="V11" s="1"/>
      <c r="W11" s="1"/>
      <c r="X11" s="2"/>
    </row>
    <row r="12" spans="1:24">
      <c r="A12" s="5" t="s">
        <v>165</v>
      </c>
      <c r="B12" s="1"/>
      <c r="C12" s="1"/>
      <c r="D12" s="1"/>
      <c r="E12" s="1"/>
      <c r="F12" s="1"/>
      <c r="G12" s="1"/>
      <c r="H12" s="1"/>
      <c r="I12" s="1"/>
      <c r="J12" s="1"/>
      <c r="K12" s="1" t="s">
        <v>6</v>
      </c>
      <c r="L12" s="1" t="s">
        <v>166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</row>
    <row r="13" spans="1:24">
      <c r="A13" s="5" t="s">
        <v>167</v>
      </c>
      <c r="B13" s="1"/>
      <c r="C13" s="1"/>
      <c r="D13" s="1"/>
      <c r="E13" s="1"/>
      <c r="F13" s="1"/>
      <c r="G13" s="1"/>
      <c r="H13" s="1"/>
      <c r="I13" s="1"/>
      <c r="J13" s="1"/>
      <c r="K13" s="1" t="s">
        <v>6</v>
      </c>
      <c r="L13" s="1" t="s">
        <v>68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</row>
    <row r="14" spans="1:24">
      <c r="A14" s="1418" t="s">
        <v>260</v>
      </c>
      <c r="B14" s="1400"/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0"/>
      <c r="S14" s="1400"/>
      <c r="T14" s="1400"/>
      <c r="U14" s="1400"/>
      <c r="V14" s="1400"/>
      <c r="W14" s="1400"/>
      <c r="X14" s="1405"/>
    </row>
    <row r="15" spans="1:24">
      <c r="A15" s="1418" t="s">
        <v>169</v>
      </c>
      <c r="B15" s="1400"/>
      <c r="C15" s="1400"/>
      <c r="D15" s="1400"/>
      <c r="E15" s="1400"/>
      <c r="F15" s="1400"/>
      <c r="G15" s="128"/>
      <c r="H15" s="128"/>
      <c r="I15" s="1399" t="s">
        <v>170</v>
      </c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3"/>
      <c r="U15" s="1399" t="s">
        <v>171</v>
      </c>
      <c r="V15" s="1400"/>
      <c r="W15" s="1400"/>
      <c r="X15" s="1405"/>
    </row>
    <row r="16" spans="1:24">
      <c r="A16" s="80" t="s">
        <v>172</v>
      </c>
      <c r="B16" s="53"/>
      <c r="C16" s="53"/>
      <c r="D16" s="53"/>
      <c r="E16" s="53"/>
      <c r="F16" s="53"/>
      <c r="G16" s="53"/>
      <c r="H16" s="53"/>
      <c r="I16" s="99" t="s">
        <v>353</v>
      </c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100"/>
      <c r="U16" s="1578">
        <v>1</v>
      </c>
      <c r="V16" s="1579"/>
      <c r="W16" s="1579"/>
      <c r="X16" s="1580"/>
    </row>
    <row r="17" spans="1:24">
      <c r="A17" s="5" t="s">
        <v>174</v>
      </c>
      <c r="B17" s="1"/>
      <c r="C17" s="1"/>
      <c r="D17" s="1"/>
      <c r="E17" s="1"/>
      <c r="F17" s="1"/>
      <c r="G17" s="1"/>
      <c r="H17" s="1"/>
      <c r="I17" s="93" t="s">
        <v>175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101"/>
      <c r="U17" s="102" t="s">
        <v>154</v>
      </c>
      <c r="V17" s="1530" t="e">
        <f>#REF!</f>
        <v>#REF!</v>
      </c>
      <c r="W17" s="1530"/>
      <c r="X17" s="1531"/>
    </row>
    <row r="18" spans="1:24">
      <c r="A18" s="5" t="s">
        <v>176</v>
      </c>
      <c r="B18" s="1"/>
      <c r="C18" s="1"/>
      <c r="D18" s="1"/>
      <c r="E18" s="1"/>
      <c r="F18" s="1"/>
      <c r="G18" s="1"/>
      <c r="H18" s="1"/>
      <c r="I18" s="93" t="s">
        <v>354</v>
      </c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101"/>
      <c r="U18" s="1456" t="s">
        <v>178</v>
      </c>
      <c r="V18" s="1359"/>
      <c r="W18" s="1359"/>
      <c r="X18" s="1360"/>
    </row>
    <row r="19" spans="1:24">
      <c r="A19" s="68" t="s">
        <v>179</v>
      </c>
      <c r="B19" s="3"/>
      <c r="C19" s="3"/>
      <c r="D19" s="3"/>
      <c r="E19" s="3"/>
      <c r="F19" s="3"/>
      <c r="G19" s="3"/>
      <c r="H19" s="3"/>
      <c r="I19" s="105" t="s">
        <v>355</v>
      </c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6"/>
      <c r="U19" s="1455" t="s">
        <v>181</v>
      </c>
      <c r="V19" s="1428"/>
      <c r="W19" s="1428"/>
      <c r="X19" s="1582"/>
    </row>
    <row r="20" spans="1:24">
      <c r="A20" s="5" t="s">
        <v>182</v>
      </c>
      <c r="B20" s="1"/>
      <c r="C20" s="1"/>
      <c r="D20" s="1"/>
      <c r="E20" s="1"/>
      <c r="F20" s="1"/>
      <c r="G20" s="1"/>
      <c r="H20" s="1"/>
      <c r="I20" s="24"/>
      <c r="J20" s="22"/>
      <c r="K20" s="22"/>
      <c r="L20" s="22" t="s">
        <v>6</v>
      </c>
      <c r="M20" s="22" t="s">
        <v>67</v>
      </c>
      <c r="N20" s="22"/>
      <c r="O20" s="22"/>
      <c r="P20" s="22"/>
      <c r="Q20" s="22"/>
      <c r="R20" s="22"/>
      <c r="S20" s="22"/>
      <c r="T20" s="34"/>
      <c r="U20" s="1"/>
      <c r="V20" s="1"/>
      <c r="W20" s="1"/>
      <c r="X20" s="2"/>
    </row>
    <row r="21" spans="1:24">
      <c r="A21" s="1321" t="s">
        <v>183</v>
      </c>
      <c r="B21" s="1322"/>
      <c r="C21" s="1322"/>
      <c r="D21" s="1322"/>
      <c r="E21" s="1322"/>
      <c r="F21" s="1322"/>
      <c r="G21" s="1322"/>
      <c r="H21" s="1322"/>
      <c r="I21" s="1322"/>
      <c r="J21" s="1322"/>
      <c r="K21" s="1322"/>
      <c r="L21" s="1322"/>
      <c r="M21" s="1322"/>
      <c r="N21" s="1322"/>
      <c r="O21" s="1322"/>
      <c r="P21" s="1322"/>
      <c r="Q21" s="1322"/>
      <c r="R21" s="1322"/>
      <c r="S21" s="1322"/>
      <c r="T21" s="1322"/>
      <c r="U21" s="1322"/>
      <c r="V21" s="1322"/>
      <c r="W21" s="1322"/>
      <c r="X21" s="1323"/>
    </row>
    <row r="22" spans="1:24">
      <c r="A22" s="1324" t="s">
        <v>184</v>
      </c>
      <c r="B22" s="1325"/>
      <c r="C22" s="1325"/>
      <c r="D22" s="1325"/>
      <c r="E22" s="1325"/>
      <c r="F22" s="1325"/>
      <c r="G22" s="1325"/>
      <c r="H22" s="1325"/>
      <c r="I22" s="1325"/>
      <c r="J22" s="1325"/>
      <c r="K22" s="1325"/>
      <c r="L22" s="1325"/>
      <c r="M22" s="1325"/>
      <c r="N22" s="1325"/>
      <c r="O22" s="1325"/>
      <c r="P22" s="1325"/>
      <c r="Q22" s="1325"/>
      <c r="R22" s="1325"/>
      <c r="S22" s="1325"/>
      <c r="T22" s="1325"/>
      <c r="U22" s="1325"/>
      <c r="V22" s="1325"/>
      <c r="W22" s="1325"/>
      <c r="X22" s="1326"/>
    </row>
    <row r="23" spans="1:24">
      <c r="A23" s="1321" t="s">
        <v>13</v>
      </c>
      <c r="B23" s="1322"/>
      <c r="C23" s="1322"/>
      <c r="D23" s="1322"/>
      <c r="E23" s="1322"/>
      <c r="F23" s="1322"/>
      <c r="G23" s="1322"/>
      <c r="H23" s="1322"/>
      <c r="I23" s="1322"/>
      <c r="J23" s="1322"/>
      <c r="K23" s="1322"/>
      <c r="L23" s="1394"/>
      <c r="M23" s="1395" t="s">
        <v>14</v>
      </c>
      <c r="N23" s="1396"/>
      <c r="O23" s="1396"/>
      <c r="P23" s="1397"/>
      <c r="Q23" s="1401" t="s">
        <v>121</v>
      </c>
      <c r="R23" s="1322"/>
      <c r="S23" s="1322"/>
      <c r="T23" s="1322"/>
      <c r="U23" s="1322"/>
      <c r="V23" s="1401" t="s">
        <v>15</v>
      </c>
      <c r="W23" s="1322"/>
      <c r="X23" s="1323"/>
    </row>
    <row r="24" spans="1:24">
      <c r="A24" s="1164" t="s">
        <v>16</v>
      </c>
      <c r="B24" s="1165"/>
      <c r="C24" s="1165"/>
      <c r="D24" s="1165"/>
      <c r="E24" s="1165"/>
      <c r="F24" s="1165"/>
      <c r="G24" s="1165"/>
      <c r="H24" s="1165"/>
      <c r="I24" s="1165"/>
      <c r="J24" s="1165"/>
      <c r="K24" s="1165"/>
      <c r="L24" s="1166"/>
      <c r="M24" s="1398"/>
      <c r="N24" s="1173"/>
      <c r="O24" s="1173"/>
      <c r="P24" s="1174"/>
      <c r="Q24" s="90" t="s">
        <v>122</v>
      </c>
      <c r="R24" s="1399" t="s">
        <v>123</v>
      </c>
      <c r="S24" s="1403"/>
      <c r="T24" s="1399" t="s">
        <v>124</v>
      </c>
      <c r="U24" s="1403"/>
      <c r="V24" s="1436" t="s">
        <v>17</v>
      </c>
      <c r="W24" s="1165"/>
      <c r="X24" s="1393"/>
    </row>
    <row r="25" spans="1:24">
      <c r="A25" s="1418">
        <v>1</v>
      </c>
      <c r="B25" s="1400"/>
      <c r="C25" s="1400"/>
      <c r="D25" s="1400"/>
      <c r="E25" s="1400"/>
      <c r="F25" s="1400"/>
      <c r="G25" s="1400"/>
      <c r="H25" s="1400"/>
      <c r="I25" s="1400"/>
      <c r="J25" s="1400"/>
      <c r="K25" s="1400"/>
      <c r="L25" s="1403"/>
      <c r="M25" s="1399">
        <v>2</v>
      </c>
      <c r="N25" s="1400"/>
      <c r="O25" s="1400"/>
      <c r="P25" s="1403"/>
      <c r="Q25" s="90">
        <v>3</v>
      </c>
      <c r="R25" s="1399">
        <v>4</v>
      </c>
      <c r="S25" s="1403"/>
      <c r="T25" s="1399">
        <v>5</v>
      </c>
      <c r="U25" s="1403"/>
      <c r="V25" s="1399">
        <v>6</v>
      </c>
      <c r="W25" s="1400"/>
      <c r="X25" s="1405"/>
    </row>
    <row r="26" spans="1:24">
      <c r="A26" s="1354" t="s">
        <v>552</v>
      </c>
      <c r="B26" s="1355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83" t="s">
        <v>23</v>
      </c>
      <c r="N26" s="84"/>
      <c r="O26" s="84"/>
      <c r="P26" s="85"/>
      <c r="Q26" s="83"/>
      <c r="R26" s="83"/>
      <c r="S26" s="85"/>
      <c r="T26" s="84"/>
      <c r="U26" s="84"/>
      <c r="V26" s="1468" t="e">
        <f>V27+V37</f>
        <v>#REF!</v>
      </c>
      <c r="W26" s="1424"/>
      <c r="X26" s="1425"/>
    </row>
    <row r="27" spans="1:24">
      <c r="A27" s="1354" t="s">
        <v>627</v>
      </c>
      <c r="B27" s="1355"/>
      <c r="C27" s="1355"/>
      <c r="D27" s="1355"/>
      <c r="E27" s="1355"/>
      <c r="F27" s="1355"/>
      <c r="G27" s="1355"/>
      <c r="H27" s="1355"/>
      <c r="I27" s="1355"/>
      <c r="J27" s="1355"/>
      <c r="K27" s="1355"/>
      <c r="L27" s="1355"/>
      <c r="M27" s="83" t="s">
        <v>22</v>
      </c>
      <c r="N27" s="84"/>
      <c r="O27" s="84"/>
      <c r="P27" s="85"/>
      <c r="Q27" s="83"/>
      <c r="R27" s="83"/>
      <c r="S27" s="85"/>
      <c r="T27" s="84"/>
      <c r="U27" s="84"/>
      <c r="V27" s="1468" t="e">
        <f>V28</f>
        <v>#REF!</v>
      </c>
      <c r="W27" s="1424"/>
      <c r="X27" s="1425"/>
    </row>
    <row r="28" spans="1:24">
      <c r="A28" s="1354" t="s">
        <v>637</v>
      </c>
      <c r="B28" s="1355"/>
      <c r="C28" s="1355"/>
      <c r="D28" s="1355"/>
      <c r="E28" s="1355"/>
      <c r="F28" s="1355"/>
      <c r="G28" s="1355"/>
      <c r="H28" s="1355"/>
      <c r="I28" s="1355"/>
      <c r="J28" s="1355"/>
      <c r="K28" s="1355"/>
      <c r="L28" s="1355"/>
      <c r="M28" s="83" t="s">
        <v>343</v>
      </c>
      <c r="N28" s="84"/>
      <c r="O28" s="84"/>
      <c r="P28" s="85"/>
      <c r="Q28" s="83"/>
      <c r="R28" s="83"/>
      <c r="S28" s="85"/>
      <c r="T28" s="84"/>
      <c r="U28" s="84"/>
      <c r="V28" s="1468" t="e">
        <f>V29</f>
        <v>#REF!</v>
      </c>
      <c r="W28" s="1424"/>
      <c r="X28" s="1425"/>
    </row>
    <row r="29" spans="1:24">
      <c r="A29" s="1749" t="s">
        <v>638</v>
      </c>
      <c r="B29" s="1750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35" t="s">
        <v>356</v>
      </c>
      <c r="N29" s="1"/>
      <c r="O29" s="1"/>
      <c r="P29" s="36"/>
      <c r="Q29" s="35"/>
      <c r="R29" s="35"/>
      <c r="S29" s="36"/>
      <c r="T29" s="1"/>
      <c r="U29" s="1"/>
      <c r="V29" s="1598" t="e">
        <f>V32+#REF!+V33+V35</f>
        <v>#REF!</v>
      </c>
      <c r="W29" s="1422"/>
      <c r="X29" s="1423"/>
    </row>
    <row r="30" spans="1:24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36"/>
      <c r="M30" s="63"/>
      <c r="N30" s="1"/>
      <c r="O30" s="1"/>
      <c r="P30" s="36"/>
      <c r="Q30" s="35"/>
      <c r="R30" s="1147"/>
      <c r="S30" s="1148"/>
      <c r="T30" s="1689"/>
      <c r="U30" s="1690"/>
      <c r="V30" s="1598"/>
      <c r="W30" s="1422"/>
      <c r="X30" s="1423"/>
    </row>
    <row r="31" spans="1:24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36"/>
      <c r="M31" s="63" t="s">
        <v>357</v>
      </c>
      <c r="N31" s="1"/>
      <c r="O31" s="36" t="s">
        <v>648</v>
      </c>
      <c r="Q31" s="125">
        <v>12</v>
      </c>
      <c r="R31" s="1147" t="s">
        <v>128</v>
      </c>
      <c r="S31" s="1148"/>
      <c r="T31" s="1689">
        <v>750000</v>
      </c>
      <c r="U31" s="1690"/>
      <c r="V31" s="1598">
        <f>T31*Q31</f>
        <v>9000000</v>
      </c>
      <c r="W31" s="1422"/>
      <c r="X31" s="1423"/>
    </row>
    <row r="32" spans="1:24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36"/>
      <c r="M32" s="63"/>
      <c r="N32" s="1"/>
      <c r="O32" s="1"/>
      <c r="P32" s="36" t="s">
        <v>110</v>
      </c>
      <c r="Q32" s="35"/>
      <c r="R32" s="1147"/>
      <c r="S32" s="1148"/>
      <c r="T32" s="1349"/>
      <c r="U32" s="1350"/>
      <c r="V32" s="1598">
        <f>V30+V31</f>
        <v>9000000</v>
      </c>
      <c r="W32" s="1422"/>
      <c r="X32" s="1423"/>
    </row>
    <row r="33" spans="1:24">
      <c r="A33" s="5"/>
      <c r="B33" s="57"/>
      <c r="C33" s="1"/>
      <c r="D33" s="57"/>
      <c r="E33" s="57"/>
      <c r="F33" s="61"/>
      <c r="G33" s="61"/>
      <c r="H33" s="61"/>
      <c r="I33" s="1"/>
      <c r="J33" s="1"/>
      <c r="K33" s="57"/>
      <c r="L33" s="62"/>
      <c r="M33" s="92" t="s">
        <v>358</v>
      </c>
      <c r="N33" s="1"/>
      <c r="O33" s="1"/>
      <c r="P33" s="36"/>
      <c r="Q33" s="35"/>
      <c r="R33" s="35"/>
      <c r="S33" s="36"/>
      <c r="T33" s="1"/>
      <c r="U33" s="1"/>
      <c r="V33" s="1598">
        <f>V34</f>
        <v>1200000</v>
      </c>
      <c r="W33" s="1422"/>
      <c r="X33" s="1423"/>
    </row>
    <row r="34" spans="1:24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36"/>
      <c r="M34" s="35"/>
      <c r="N34" s="1"/>
      <c r="O34" s="36" t="s">
        <v>377</v>
      </c>
      <c r="Q34" s="125">
        <v>12</v>
      </c>
      <c r="R34" s="1147" t="s">
        <v>128</v>
      </c>
      <c r="S34" s="1148"/>
      <c r="T34" s="1689">
        <v>100000</v>
      </c>
      <c r="U34" s="1690"/>
      <c r="V34" s="1598">
        <f>T34*Q34</f>
        <v>1200000</v>
      </c>
      <c r="W34" s="1422"/>
      <c r="X34" s="1423"/>
    </row>
    <row r="35" spans="1:24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36"/>
      <c r="M35" s="63" t="s">
        <v>348</v>
      </c>
      <c r="N35" s="1"/>
      <c r="O35" s="1"/>
      <c r="P35" s="36"/>
      <c r="Q35" s="35"/>
      <c r="R35" s="35"/>
      <c r="S35" s="36"/>
      <c r="T35" s="1"/>
      <c r="U35" s="1"/>
      <c r="V35" s="1598">
        <v>20320000</v>
      </c>
      <c r="W35" s="1422"/>
      <c r="X35" s="1423"/>
    </row>
    <row r="36" spans="1:24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36"/>
      <c r="M36" s="63"/>
      <c r="N36" s="1"/>
      <c r="O36" s="1"/>
      <c r="P36" s="36"/>
      <c r="Q36" s="35"/>
      <c r="R36" s="35"/>
      <c r="S36" s="36"/>
      <c r="T36" s="1"/>
      <c r="U36" s="1"/>
      <c r="V36" s="120"/>
      <c r="W36" s="121"/>
      <c r="X36" s="122"/>
    </row>
    <row r="37" spans="1:24">
      <c r="A37" s="1354" t="s">
        <v>359</v>
      </c>
      <c r="B37" s="1355"/>
      <c r="C37" s="1355"/>
      <c r="D37" s="1355"/>
      <c r="E37" s="1355"/>
      <c r="F37" s="1355"/>
      <c r="G37" s="1355"/>
      <c r="H37" s="1355"/>
      <c r="I37" s="1355"/>
      <c r="J37" s="1355"/>
      <c r="K37" s="1355"/>
      <c r="L37" s="1355"/>
      <c r="M37" s="83" t="s">
        <v>360</v>
      </c>
      <c r="N37" s="1"/>
      <c r="O37" s="1"/>
      <c r="P37" s="36"/>
      <c r="Q37" s="35"/>
      <c r="R37" s="35"/>
      <c r="S37" s="36"/>
      <c r="T37" s="1"/>
      <c r="U37" s="1"/>
      <c r="V37" s="1468">
        <f>V38+V43</f>
        <v>7904000</v>
      </c>
      <c r="W37" s="1424"/>
      <c r="X37" s="1425"/>
    </row>
    <row r="38" spans="1:24">
      <c r="A38" s="1354" t="s">
        <v>361</v>
      </c>
      <c r="B38" s="1355"/>
      <c r="C38" s="1355"/>
      <c r="D38" s="1355"/>
      <c r="E38" s="1355"/>
      <c r="F38" s="1355"/>
      <c r="G38" s="1355"/>
      <c r="H38" s="1355"/>
      <c r="I38" s="1355"/>
      <c r="J38" s="1355"/>
      <c r="K38" s="1355"/>
      <c r="L38" s="1355"/>
      <c r="M38" s="83" t="s">
        <v>362</v>
      </c>
      <c r="N38" s="1"/>
      <c r="O38" s="1"/>
      <c r="P38" s="36"/>
      <c r="Q38" s="35"/>
      <c r="R38" s="35"/>
      <c r="S38" s="36"/>
      <c r="T38" s="1"/>
      <c r="U38" s="1"/>
      <c r="V38" s="1468">
        <f>V39</f>
        <v>4480000</v>
      </c>
      <c r="W38" s="1424"/>
      <c r="X38" s="1425"/>
    </row>
    <row r="39" spans="1:24">
      <c r="A39" s="1749" t="s">
        <v>363</v>
      </c>
      <c r="B39" s="1750"/>
      <c r="C39" s="1750"/>
      <c r="D39" s="1750"/>
      <c r="E39" s="1750"/>
      <c r="F39" s="1750"/>
      <c r="G39" s="1750"/>
      <c r="H39" s="1750"/>
      <c r="I39" s="1750"/>
      <c r="J39" s="1750"/>
      <c r="K39" s="1750"/>
      <c r="L39" s="1750"/>
      <c r="M39" s="35" t="s">
        <v>364</v>
      </c>
      <c r="N39" s="1"/>
      <c r="O39" s="1"/>
      <c r="P39" s="36"/>
      <c r="R39" s="35"/>
      <c r="S39" s="36"/>
      <c r="V39" s="1961">
        <f>V40+V42</f>
        <v>4480000</v>
      </c>
      <c r="W39" s="1962"/>
      <c r="X39" s="1963"/>
    </row>
    <row r="40" spans="1:24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36"/>
      <c r="M40" s="63" t="s">
        <v>365</v>
      </c>
      <c r="N40" s="1"/>
      <c r="O40" s="1"/>
      <c r="P40" s="36"/>
      <c r="Q40" s="125">
        <v>12</v>
      </c>
      <c r="R40" s="1147" t="s">
        <v>207</v>
      </c>
      <c r="S40" s="1148"/>
      <c r="T40" s="1918">
        <v>115000</v>
      </c>
      <c r="U40" s="1690"/>
      <c r="V40" s="1598">
        <f>Q40*T40</f>
        <v>1380000</v>
      </c>
      <c r="W40" s="1422"/>
      <c r="X40" s="1423"/>
    </row>
    <row r="41" spans="1:24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36"/>
      <c r="M41" s="63" t="s">
        <v>366</v>
      </c>
      <c r="N41" s="1"/>
      <c r="O41" s="1"/>
      <c r="P41" s="36"/>
      <c r="R41" s="35"/>
      <c r="S41" s="36"/>
      <c r="V41" s="1598"/>
      <c r="W41" s="1422"/>
      <c r="X41" s="1423"/>
    </row>
    <row r="42" spans="1:24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36"/>
      <c r="M42" s="35" t="s">
        <v>367</v>
      </c>
      <c r="N42" s="1"/>
      <c r="O42" s="1"/>
      <c r="P42" s="36"/>
      <c r="Q42" s="125">
        <v>1</v>
      </c>
      <c r="R42" s="1147" t="s">
        <v>368</v>
      </c>
      <c r="S42" s="1148"/>
      <c r="T42" s="1349">
        <v>3100000</v>
      </c>
      <c r="U42" s="1350"/>
      <c r="V42" s="1598">
        <f>Q42*T42</f>
        <v>3100000</v>
      </c>
      <c r="W42" s="1422"/>
      <c r="X42" s="1423"/>
    </row>
    <row r="43" spans="1:24">
      <c r="A43" s="1354" t="s">
        <v>369</v>
      </c>
      <c r="B43" s="1355"/>
      <c r="C43" s="1355"/>
      <c r="D43" s="1355"/>
      <c r="E43" s="1355"/>
      <c r="F43" s="1355"/>
      <c r="G43" s="1355"/>
      <c r="H43" s="1355"/>
      <c r="I43" s="1355"/>
      <c r="J43" s="1355"/>
      <c r="K43" s="1355"/>
      <c r="L43" s="1355"/>
      <c r="M43" s="83" t="s">
        <v>204</v>
      </c>
      <c r="N43" s="84"/>
      <c r="O43" s="1"/>
      <c r="P43" s="36"/>
      <c r="Q43" s="35"/>
      <c r="R43" s="35"/>
      <c r="S43" s="36"/>
      <c r="T43" s="1"/>
      <c r="U43" s="1"/>
      <c r="V43" s="1468">
        <f>V44</f>
        <v>3424000</v>
      </c>
      <c r="W43" s="1424"/>
      <c r="X43" s="1425"/>
    </row>
    <row r="44" spans="1:24">
      <c r="A44" s="1749" t="s">
        <v>370</v>
      </c>
      <c r="B44" s="1750"/>
      <c r="C44" s="1750"/>
      <c r="D44" s="1750"/>
      <c r="E44" s="1750"/>
      <c r="F44" s="1750"/>
      <c r="G44" s="1750"/>
      <c r="H44" s="1750"/>
      <c r="I44" s="1750"/>
      <c r="J44" s="1750"/>
      <c r="K44" s="1750"/>
      <c r="L44" s="1750"/>
      <c r="M44" s="35" t="s">
        <v>371</v>
      </c>
      <c r="N44" s="1"/>
      <c r="O44" s="1"/>
      <c r="P44" s="36"/>
      <c r="Q44" s="35"/>
      <c r="R44" s="35"/>
      <c r="S44" s="36"/>
      <c r="T44" s="1"/>
      <c r="U44" s="1"/>
      <c r="V44" s="1598">
        <f>SUM(V45:X49)</f>
        <v>3424000</v>
      </c>
      <c r="W44" s="1422"/>
      <c r="X44" s="1423"/>
    </row>
    <row r="45" spans="1:24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36"/>
      <c r="M45" s="63" t="s">
        <v>372</v>
      </c>
      <c r="N45" s="1"/>
      <c r="O45" s="1"/>
      <c r="P45" s="36"/>
      <c r="Q45" s="125">
        <v>1</v>
      </c>
      <c r="R45" s="1147" t="s">
        <v>368</v>
      </c>
      <c r="S45" s="1148"/>
      <c r="T45" s="1349">
        <v>1000000</v>
      </c>
      <c r="U45" s="1350"/>
      <c r="V45" s="1598">
        <f>T45</f>
        <v>1000000</v>
      </c>
      <c r="W45" s="1422"/>
      <c r="X45" s="1423"/>
    </row>
    <row r="46" spans="1:24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36"/>
      <c r="M46" s="63" t="s">
        <v>373</v>
      </c>
      <c r="N46" s="1"/>
      <c r="O46" s="1"/>
      <c r="P46" s="36"/>
      <c r="Q46" s="125">
        <v>1</v>
      </c>
      <c r="R46" s="1147" t="s">
        <v>368</v>
      </c>
      <c r="S46" s="1148"/>
      <c r="T46" s="1349">
        <v>200000</v>
      </c>
      <c r="U46" s="1350"/>
      <c r="V46" s="1598">
        <f>T46</f>
        <v>200000</v>
      </c>
      <c r="W46" s="1422"/>
      <c r="X46" s="1423"/>
    </row>
    <row r="47" spans="1:24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36"/>
      <c r="M47" s="63" t="s">
        <v>374</v>
      </c>
      <c r="N47" s="1"/>
      <c r="O47" s="1"/>
      <c r="P47" s="36"/>
      <c r="Q47" s="125">
        <v>1</v>
      </c>
      <c r="R47" s="1147" t="s">
        <v>368</v>
      </c>
      <c r="S47" s="1148"/>
      <c r="T47" s="1349">
        <v>100000</v>
      </c>
      <c r="U47" s="1350"/>
      <c r="V47" s="1598">
        <f>T47</f>
        <v>100000</v>
      </c>
      <c r="W47" s="1422"/>
      <c r="X47" s="1423"/>
    </row>
    <row r="48" spans="1:24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36"/>
      <c r="M48" s="92" t="s">
        <v>375</v>
      </c>
      <c r="N48" s="1"/>
      <c r="O48" s="1"/>
      <c r="P48" s="36"/>
      <c r="Q48" s="125">
        <v>1</v>
      </c>
      <c r="R48" s="1147" t="s">
        <v>368</v>
      </c>
      <c r="S48" s="1148"/>
      <c r="T48" s="1349">
        <v>200000</v>
      </c>
      <c r="U48" s="1350"/>
      <c r="V48" s="1598">
        <f>T48</f>
        <v>200000</v>
      </c>
      <c r="W48" s="1422"/>
      <c r="X48" s="1423"/>
    </row>
    <row r="49" spans="1:24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36"/>
      <c r="M49" s="63" t="s">
        <v>241</v>
      </c>
      <c r="N49" s="1"/>
      <c r="O49" s="1"/>
      <c r="P49" s="36"/>
      <c r="Q49" s="35"/>
      <c r="R49" s="35"/>
      <c r="S49" s="36"/>
      <c r="T49" s="1"/>
      <c r="U49" s="1"/>
      <c r="V49" s="1598">
        <v>1924000</v>
      </c>
      <c r="W49" s="1422"/>
      <c r="X49" s="1423"/>
    </row>
    <row r="50" spans="1:24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36"/>
      <c r="M50" s="63"/>
      <c r="N50" s="1"/>
      <c r="O50" s="1"/>
      <c r="P50" s="36"/>
      <c r="Q50" s="35"/>
      <c r="R50" s="35"/>
      <c r="S50" s="36"/>
      <c r="T50" s="1"/>
      <c r="U50" s="1"/>
      <c r="V50" s="131"/>
      <c r="W50" s="129"/>
      <c r="X50" s="130"/>
    </row>
    <row r="51" spans="1:24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36"/>
      <c r="M51" s="35"/>
      <c r="N51" s="1"/>
      <c r="O51" s="1"/>
      <c r="P51" s="36"/>
      <c r="Q51" s="35"/>
      <c r="R51" s="35"/>
      <c r="S51" s="36"/>
      <c r="T51" s="1"/>
      <c r="U51" s="1"/>
      <c r="V51" s="120"/>
      <c r="W51" s="121"/>
      <c r="X51" s="122"/>
    </row>
    <row r="52" spans="1:24">
      <c r="A52" s="1150" t="s">
        <v>110</v>
      </c>
      <c r="B52" s="1151"/>
      <c r="C52" s="1151"/>
      <c r="D52" s="1151"/>
      <c r="E52" s="1151"/>
      <c r="F52" s="1151"/>
      <c r="G52" s="1151"/>
      <c r="H52" s="1151"/>
      <c r="I52" s="1151"/>
      <c r="J52" s="1151"/>
      <c r="K52" s="1151"/>
      <c r="L52" s="1151"/>
      <c r="M52" s="1151"/>
      <c r="N52" s="1151"/>
      <c r="O52" s="1151"/>
      <c r="P52" s="1151"/>
      <c r="Q52" s="1151"/>
      <c r="R52" s="1151"/>
      <c r="S52" s="1151"/>
      <c r="T52" s="1151"/>
      <c r="U52" s="1152"/>
      <c r="V52" s="1595" t="e">
        <f>V26</f>
        <v>#REF!</v>
      </c>
      <c r="W52" s="1596"/>
      <c r="X52" s="1597"/>
    </row>
    <row r="53" spans="1:24">
      <c r="A53" s="5" t="s">
        <v>105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147" t="s">
        <v>438</v>
      </c>
      <c r="S53" s="1146"/>
      <c r="T53" s="1146"/>
      <c r="U53" s="1146"/>
      <c r="V53" s="1146"/>
      <c r="W53" s="1146"/>
      <c r="X53" s="1149"/>
    </row>
    <row r="54" spans="1:24">
      <c r="A54" s="5" t="s">
        <v>106</v>
      </c>
      <c r="B54" s="1"/>
      <c r="C54" s="1"/>
      <c r="D54" s="1"/>
      <c r="E54" s="66" t="s">
        <v>17</v>
      </c>
      <c r="F54" s="1422">
        <v>9618800</v>
      </c>
      <c r="G54" s="1422"/>
      <c r="H54" s="1422"/>
      <c r="I54" s="1422"/>
      <c r="J54" s="1422"/>
      <c r="K54" s="1422"/>
      <c r="L54" s="1422"/>
      <c r="M54" s="1"/>
      <c r="N54" s="1"/>
      <c r="O54" s="1"/>
      <c r="P54" s="1"/>
      <c r="Q54" s="1"/>
      <c r="R54" s="1147" t="s">
        <v>439</v>
      </c>
      <c r="S54" s="1146"/>
      <c r="T54" s="1146"/>
      <c r="U54" s="1146"/>
      <c r="V54" s="1146"/>
      <c r="W54" s="1146"/>
      <c r="X54" s="1149"/>
    </row>
    <row r="55" spans="1:24">
      <c r="A55" s="5" t="s">
        <v>107</v>
      </c>
      <c r="B55" s="1"/>
      <c r="C55" s="1"/>
      <c r="D55" s="1"/>
      <c r="E55" s="66" t="s">
        <v>17</v>
      </c>
      <c r="F55" s="1422">
        <v>9243400</v>
      </c>
      <c r="G55" s="1422"/>
      <c r="H55" s="1422"/>
      <c r="I55" s="1422"/>
      <c r="J55" s="1422"/>
      <c r="K55" s="1422"/>
      <c r="L55" s="1422"/>
      <c r="M55" s="1"/>
      <c r="N55" s="1"/>
      <c r="O55" s="1"/>
      <c r="P55" s="1"/>
      <c r="Q55" s="1"/>
      <c r="R55" s="35"/>
      <c r="S55" s="195"/>
      <c r="T55" s="195"/>
      <c r="U55" s="195" t="s">
        <v>537</v>
      </c>
      <c r="V55" s="195"/>
      <c r="W55" s="195"/>
      <c r="X55" s="2"/>
    </row>
    <row r="56" spans="1:24">
      <c r="A56" s="5" t="s">
        <v>108</v>
      </c>
      <c r="B56" s="1"/>
      <c r="C56" s="1"/>
      <c r="D56" s="1"/>
      <c r="E56" s="66" t="s">
        <v>17</v>
      </c>
      <c r="F56" s="1422">
        <v>9942800</v>
      </c>
      <c r="G56" s="1422"/>
      <c r="H56" s="1422"/>
      <c r="I56" s="1422"/>
      <c r="J56" s="1422"/>
      <c r="K56" s="1422"/>
      <c r="L56" s="1422"/>
      <c r="M56" s="1"/>
      <c r="N56" s="1"/>
      <c r="O56" s="1"/>
      <c r="P56" s="1"/>
      <c r="Q56" s="1"/>
      <c r="R56" s="35"/>
      <c r="S56" s="195"/>
      <c r="T56" s="195"/>
      <c r="U56" s="195"/>
      <c r="V56" s="195"/>
      <c r="W56" s="195"/>
      <c r="X56" s="2"/>
    </row>
    <row r="57" spans="1:24" ht="16.5">
      <c r="A57" s="5" t="s">
        <v>109</v>
      </c>
      <c r="B57" s="1"/>
      <c r="C57" s="1"/>
      <c r="D57" s="1"/>
      <c r="E57" s="66" t="s">
        <v>17</v>
      </c>
      <c r="F57" s="1547">
        <v>8519000</v>
      </c>
      <c r="G57" s="1547"/>
      <c r="H57" s="1547"/>
      <c r="I57" s="1547"/>
      <c r="J57" s="1547"/>
      <c r="K57" s="1547"/>
      <c r="L57" s="1547"/>
      <c r="M57" s="1"/>
      <c r="N57" s="1"/>
      <c r="O57" s="1"/>
      <c r="P57" s="1"/>
      <c r="Q57" s="1"/>
      <c r="R57" s="35"/>
      <c r="S57" s="195"/>
      <c r="T57" s="195"/>
      <c r="U57" s="195"/>
      <c r="V57" s="195"/>
      <c r="W57" s="195"/>
      <c r="X57" s="2"/>
    </row>
    <row r="58" spans="1:24">
      <c r="A58" s="5" t="s">
        <v>15</v>
      </c>
      <c r="B58" s="1"/>
      <c r="C58" s="1"/>
      <c r="D58" s="1"/>
      <c r="E58" s="66" t="s">
        <v>17</v>
      </c>
      <c r="F58" s="1422">
        <f>SUM(F54:L57)</f>
        <v>37324000</v>
      </c>
      <c r="G58" s="1422"/>
      <c r="H58" s="1422"/>
      <c r="I58" s="1422"/>
      <c r="J58" s="1422"/>
      <c r="K58" s="1422"/>
      <c r="L58" s="1422"/>
      <c r="M58" s="1"/>
      <c r="N58" s="1"/>
      <c r="O58" s="1"/>
      <c r="P58" s="1"/>
      <c r="Q58" s="1"/>
      <c r="R58" s="1427" t="s">
        <v>192</v>
      </c>
      <c r="S58" s="1357"/>
      <c r="T58" s="1357"/>
      <c r="U58" s="1357"/>
      <c r="V58" s="1357"/>
      <c r="W58" s="1357"/>
      <c r="X58" s="1358"/>
    </row>
    <row r="59" spans="1:24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456" t="s">
        <v>112</v>
      </c>
      <c r="S59" s="1146"/>
      <c r="T59" s="1146"/>
      <c r="U59" s="1146"/>
      <c r="V59" s="1146"/>
      <c r="W59" s="1146"/>
      <c r="X59" s="1149"/>
    </row>
    <row r="60" spans="1:24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3"/>
      <c r="R60" s="1455"/>
      <c r="S60" s="1143"/>
      <c r="T60" s="1143"/>
      <c r="U60" s="1143"/>
      <c r="V60" s="1143"/>
      <c r="W60" s="1143"/>
      <c r="X60" s="1144"/>
    </row>
    <row r="61" spans="1:24">
      <c r="A61" s="1418" t="s">
        <v>113</v>
      </c>
      <c r="B61" s="1400"/>
      <c r="C61" s="1400"/>
      <c r="D61" s="1400"/>
      <c r="E61" s="1400"/>
      <c r="F61" s="1400"/>
      <c r="G61" s="1400"/>
      <c r="H61" s="1400"/>
      <c r="I61" s="1400"/>
      <c r="J61" s="1400"/>
      <c r="K61" s="1400"/>
      <c r="L61" s="1400"/>
      <c r="M61" s="1400"/>
      <c r="N61" s="1400"/>
      <c r="O61" s="1400"/>
      <c r="P61" s="1400"/>
      <c r="Q61" s="3"/>
      <c r="R61" s="1456" t="s">
        <v>538</v>
      </c>
      <c r="S61" s="1146"/>
      <c r="T61" s="1146"/>
      <c r="U61" s="1146"/>
      <c r="V61" s="1146"/>
      <c r="W61" s="1146"/>
      <c r="X61" s="1149"/>
    </row>
    <row r="62" spans="1:24">
      <c r="A62" s="126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"/>
      <c r="R62" s="306"/>
      <c r="S62" s="308"/>
      <c r="T62" s="308"/>
      <c r="U62" s="308"/>
      <c r="V62" s="308"/>
      <c r="W62" s="308"/>
      <c r="X62" s="307"/>
    </row>
    <row r="63" spans="1:24">
      <c r="A63" s="5">
        <v>1</v>
      </c>
      <c r="B63" s="1" t="s">
        <v>315</v>
      </c>
      <c r="C63" s="1"/>
      <c r="D63" s="1"/>
      <c r="E63" s="1"/>
      <c r="F63" s="1"/>
      <c r="G63" s="1"/>
      <c r="H63" s="1"/>
      <c r="I63" s="1"/>
      <c r="J63" s="1"/>
      <c r="K63" s="1" t="s">
        <v>193</v>
      </c>
      <c r="L63" s="1"/>
      <c r="M63" s="1"/>
      <c r="N63" s="1"/>
      <c r="O63" s="1"/>
      <c r="P63" s="1"/>
      <c r="Q63" s="1"/>
      <c r="R63" s="1147" t="s">
        <v>155</v>
      </c>
      <c r="S63" s="1146"/>
      <c r="T63" s="1146"/>
      <c r="U63" s="1146"/>
      <c r="V63" s="1146"/>
      <c r="W63" s="1146"/>
      <c r="X63" s="1149"/>
    </row>
    <row r="64" spans="1:24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147" t="s">
        <v>114</v>
      </c>
      <c r="S64" s="1146"/>
      <c r="T64" s="1146"/>
      <c r="U64" s="1146"/>
      <c r="V64" s="1146"/>
      <c r="W64" s="1146"/>
      <c r="X64" s="1149"/>
    </row>
    <row r="65" spans="1:24">
      <c r="A65" s="5">
        <v>2</v>
      </c>
      <c r="B65" s="1" t="s">
        <v>194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 t="s">
        <v>195</v>
      </c>
      <c r="O65" s="1"/>
      <c r="P65" s="1"/>
      <c r="Q65" s="1"/>
      <c r="R65" s="35"/>
      <c r="S65" s="195"/>
      <c r="T65" s="195"/>
      <c r="U65" s="195"/>
      <c r="V65" s="195"/>
      <c r="W65" s="195"/>
      <c r="X65" s="2"/>
    </row>
    <row r="66" spans="1:24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35"/>
      <c r="S66" s="195"/>
      <c r="T66" s="195"/>
      <c r="U66" s="195"/>
      <c r="V66" s="195"/>
      <c r="W66" s="195"/>
      <c r="X66" s="2"/>
    </row>
    <row r="67" spans="1:24">
      <c r="A67" s="5">
        <v>3</v>
      </c>
      <c r="B67" s="1" t="s">
        <v>196</v>
      </c>
      <c r="C67" s="1"/>
      <c r="D67" s="1"/>
      <c r="E67" s="1"/>
      <c r="F67" s="1"/>
      <c r="G67" s="1"/>
      <c r="H67" s="1"/>
      <c r="I67" s="1"/>
      <c r="J67" s="1"/>
      <c r="K67" s="1" t="s">
        <v>197</v>
      </c>
      <c r="L67" s="1"/>
      <c r="M67" s="1"/>
      <c r="N67" s="1"/>
      <c r="O67" s="1"/>
      <c r="P67" s="1"/>
      <c r="Q67" s="1"/>
      <c r="R67" s="35"/>
      <c r="S67" s="195"/>
      <c r="T67" s="195"/>
      <c r="U67" s="195"/>
      <c r="V67" s="195"/>
      <c r="W67" s="195"/>
      <c r="X67" s="2"/>
    </row>
    <row r="68" spans="1:24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427" t="s">
        <v>115</v>
      </c>
      <c r="S68" s="1357"/>
      <c r="T68" s="1357"/>
      <c r="U68" s="1357"/>
      <c r="V68" s="1357"/>
      <c r="W68" s="1357"/>
      <c r="X68" s="1358"/>
    </row>
    <row r="69" spans="1:24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456" t="s">
        <v>111</v>
      </c>
      <c r="S69" s="1359"/>
      <c r="T69" s="1359"/>
      <c r="U69" s="1359"/>
      <c r="V69" s="1359"/>
      <c r="W69" s="1359"/>
      <c r="X69" s="1360"/>
    </row>
    <row r="70" spans="1:24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147" t="s">
        <v>116</v>
      </c>
      <c r="S70" s="1146"/>
      <c r="T70" s="1146"/>
      <c r="U70" s="1146"/>
      <c r="V70" s="1146"/>
      <c r="W70" s="1146"/>
      <c r="X70" s="1149"/>
    </row>
    <row r="71" spans="1:24" ht="15.75" thickBot="1">
      <c r="A71" s="48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  <c r="S71" s="49"/>
      <c r="T71" s="49"/>
      <c r="U71" s="49"/>
      <c r="V71" s="49"/>
      <c r="W71" s="49"/>
      <c r="X71" s="86"/>
    </row>
  </sheetData>
  <mergeCells count="109">
    <mergeCell ref="A1:O2"/>
    <mergeCell ref="P1:V2"/>
    <mergeCell ref="W1:X1"/>
    <mergeCell ref="W2:X2"/>
    <mergeCell ref="A3:O4"/>
    <mergeCell ref="P3:P4"/>
    <mergeCell ref="Q3:Q4"/>
    <mergeCell ref="R3:R4"/>
    <mergeCell ref="S3:S4"/>
    <mergeCell ref="T3:T4"/>
    <mergeCell ref="A15:F15"/>
    <mergeCell ref="I15:T15"/>
    <mergeCell ref="U15:X15"/>
    <mergeCell ref="U16:X16"/>
    <mergeCell ref="V17:X17"/>
    <mergeCell ref="U18:X18"/>
    <mergeCell ref="U3:U4"/>
    <mergeCell ref="V3:V4"/>
    <mergeCell ref="W3:X4"/>
    <mergeCell ref="A5:X5"/>
    <mergeCell ref="A6:X6"/>
    <mergeCell ref="A14:X14"/>
    <mergeCell ref="U19:X19"/>
    <mergeCell ref="A21:X21"/>
    <mergeCell ref="A22:X22"/>
    <mergeCell ref="A23:L23"/>
    <mergeCell ref="M23:P24"/>
    <mergeCell ref="Q23:U23"/>
    <mergeCell ref="V23:X23"/>
    <mergeCell ref="A24:L24"/>
    <mergeCell ref="R24:S24"/>
    <mergeCell ref="T24:U24"/>
    <mergeCell ref="A26:L26"/>
    <mergeCell ref="V26:X26"/>
    <mergeCell ref="A27:L27"/>
    <mergeCell ref="V27:X27"/>
    <mergeCell ref="V24:X24"/>
    <mergeCell ref="A25:L25"/>
    <mergeCell ref="M25:P25"/>
    <mergeCell ref="R25:S25"/>
    <mergeCell ref="T25:U25"/>
    <mergeCell ref="V25:X25"/>
    <mergeCell ref="R31:S31"/>
    <mergeCell ref="T31:U31"/>
    <mergeCell ref="V31:X31"/>
    <mergeCell ref="A28:L28"/>
    <mergeCell ref="V28:X28"/>
    <mergeCell ref="A29:L29"/>
    <mergeCell ref="V29:X29"/>
    <mergeCell ref="R30:S30"/>
    <mergeCell ref="T30:U30"/>
    <mergeCell ref="V30:X30"/>
    <mergeCell ref="V33:X33"/>
    <mergeCell ref="R34:S34"/>
    <mergeCell ref="T34:U34"/>
    <mergeCell ref="V34:X34"/>
    <mergeCell ref="R32:S32"/>
    <mergeCell ref="T32:U32"/>
    <mergeCell ref="V32:X32"/>
    <mergeCell ref="R40:S40"/>
    <mergeCell ref="T40:U40"/>
    <mergeCell ref="V40:X40"/>
    <mergeCell ref="V41:X41"/>
    <mergeCell ref="R42:S42"/>
    <mergeCell ref="T42:U42"/>
    <mergeCell ref="V42:X42"/>
    <mergeCell ref="V35:X35"/>
    <mergeCell ref="A37:L37"/>
    <mergeCell ref="V37:X37"/>
    <mergeCell ref="A38:L38"/>
    <mergeCell ref="V38:X38"/>
    <mergeCell ref="A39:L39"/>
    <mergeCell ref="V39:X39"/>
    <mergeCell ref="R46:S46"/>
    <mergeCell ref="T46:U46"/>
    <mergeCell ref="V46:X46"/>
    <mergeCell ref="R47:S47"/>
    <mergeCell ref="T47:U47"/>
    <mergeCell ref="V47:X47"/>
    <mergeCell ref="A43:L43"/>
    <mergeCell ref="V43:X43"/>
    <mergeCell ref="A44:L44"/>
    <mergeCell ref="V44:X44"/>
    <mergeCell ref="R45:S45"/>
    <mergeCell ref="T45:U45"/>
    <mergeCell ref="V45:X45"/>
    <mergeCell ref="R53:X53"/>
    <mergeCell ref="F54:L54"/>
    <mergeCell ref="R54:X54"/>
    <mergeCell ref="F55:L55"/>
    <mergeCell ref="F56:L56"/>
    <mergeCell ref="F57:L57"/>
    <mergeCell ref="R48:S48"/>
    <mergeCell ref="T48:U48"/>
    <mergeCell ref="V48:X48"/>
    <mergeCell ref="V49:X49"/>
    <mergeCell ref="A52:U52"/>
    <mergeCell ref="V52:X52"/>
    <mergeCell ref="R63:X63"/>
    <mergeCell ref="R64:X64"/>
    <mergeCell ref="R68:X68"/>
    <mergeCell ref="R69:X69"/>
    <mergeCell ref="R70:X70"/>
    <mergeCell ref="F58:L58"/>
    <mergeCell ref="R58:X58"/>
    <mergeCell ref="R59:X59"/>
    <mergeCell ref="R60:X60"/>
    <mergeCell ref="A61:P61"/>
    <mergeCell ref="R61:X61"/>
  </mergeCells>
  <pageMargins left="0.51181102362204722" right="0.51181102362204722" top="0.74803149606299213" bottom="0.74803149606299213" header="0.31496062992125984" footer="0.31496062992125984"/>
  <pageSetup paperSize="5" scale="80" orientation="portrait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74"/>
    </sheetView>
  </sheetViews>
  <sheetFormatPr defaultRowHeight="1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B55"/>
  <sheetViews>
    <sheetView topLeftCell="A35" workbookViewId="0">
      <selection activeCell="V8" sqref="V8"/>
    </sheetView>
  </sheetViews>
  <sheetFormatPr defaultRowHeight="15"/>
  <cols>
    <col min="1" max="1" width="3.28515625" customWidth="1"/>
    <col min="2" max="2" width="3" customWidth="1"/>
    <col min="3" max="3" width="2.140625" customWidth="1"/>
    <col min="4" max="4" width="2.28515625" customWidth="1"/>
    <col min="5" max="5" width="2.140625" customWidth="1"/>
    <col min="6" max="6" width="3" customWidth="1"/>
    <col min="7" max="7" width="3.7109375" customWidth="1"/>
    <col min="8" max="9" width="1.5703125" customWidth="1"/>
    <col min="10" max="10" width="2.7109375" customWidth="1"/>
    <col min="11" max="11" width="2.140625" customWidth="1"/>
    <col min="12" max="12" width="1.5703125" customWidth="1"/>
    <col min="13" max="13" width="3.5703125" customWidth="1"/>
    <col min="14" max="14" width="11.85546875" customWidth="1"/>
    <col min="15" max="15" width="9.140625" customWidth="1"/>
    <col min="16" max="16" width="10.140625" customWidth="1"/>
    <col min="17" max="18" width="5.7109375" customWidth="1"/>
    <col min="19" max="19" width="5" customWidth="1"/>
    <col min="20" max="20" width="6.85546875" customWidth="1"/>
    <col min="21" max="21" width="7.7109375" customWidth="1"/>
    <col min="22" max="22" width="5.28515625" customWidth="1"/>
    <col min="23" max="23" width="6.7109375" customWidth="1"/>
    <col min="24" max="24" width="5.85546875" customWidth="1"/>
    <col min="28" max="28" width="16.85546875" customWidth="1"/>
  </cols>
  <sheetData>
    <row r="1" spans="1:24">
      <c r="A1" s="1161" t="s">
        <v>117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3"/>
      <c r="P1" s="1979" t="s">
        <v>118</v>
      </c>
      <c r="Q1" s="1980"/>
      <c r="R1" s="1980"/>
      <c r="S1" s="1980"/>
      <c r="T1" s="1980"/>
      <c r="U1" s="1980"/>
      <c r="V1" s="1981"/>
      <c r="W1" s="1452" t="s">
        <v>1</v>
      </c>
      <c r="X1" s="1453"/>
    </row>
    <row r="2" spans="1:24">
      <c r="A2" s="1164"/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6"/>
      <c r="P2" s="1398"/>
      <c r="Q2" s="1173"/>
      <c r="R2" s="1173"/>
      <c r="S2" s="1173"/>
      <c r="T2" s="1173"/>
      <c r="U2" s="1173"/>
      <c r="V2" s="1174"/>
      <c r="W2" s="1436" t="s">
        <v>3</v>
      </c>
      <c r="X2" s="1393"/>
    </row>
    <row r="3" spans="1:24">
      <c r="A3" s="1169" t="s">
        <v>2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  <c r="N3" s="1170"/>
      <c r="O3" s="1171"/>
      <c r="P3" s="1940" t="s">
        <v>559</v>
      </c>
      <c r="Q3" s="1940" t="s">
        <v>559</v>
      </c>
      <c r="R3" s="1942" t="s">
        <v>157</v>
      </c>
      <c r="S3" s="1942" t="s">
        <v>119</v>
      </c>
      <c r="T3" s="1942" t="s">
        <v>119</v>
      </c>
      <c r="U3" s="1940">
        <v>4</v>
      </c>
      <c r="V3" s="1940">
        <v>1</v>
      </c>
      <c r="W3" s="1944">
        <v>1</v>
      </c>
      <c r="X3" s="1945"/>
    </row>
    <row r="4" spans="1:24">
      <c r="A4" s="1172"/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4"/>
      <c r="P4" s="1941"/>
      <c r="Q4" s="1941"/>
      <c r="R4" s="1941"/>
      <c r="S4" s="1943"/>
      <c r="T4" s="1943"/>
      <c r="U4" s="1941"/>
      <c r="V4" s="1941"/>
      <c r="W4" s="1946"/>
      <c r="X4" s="1947"/>
    </row>
    <row r="5" spans="1:24">
      <c r="A5" s="1321" t="s">
        <v>161</v>
      </c>
      <c r="B5" s="1322"/>
      <c r="C5" s="1322"/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3"/>
    </row>
    <row r="6" spans="1:24">
      <c r="A6" s="1324" t="s">
        <v>527</v>
      </c>
      <c r="B6" s="1325"/>
      <c r="C6" s="1325"/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6"/>
    </row>
    <row r="7" spans="1:24">
      <c r="A7" s="58" t="s">
        <v>5</v>
      </c>
      <c r="B7" s="53"/>
      <c r="C7" s="53"/>
      <c r="D7" s="53"/>
      <c r="E7" s="53"/>
      <c r="F7" s="53"/>
      <c r="G7" s="53"/>
      <c r="H7" s="53"/>
      <c r="I7" s="53"/>
      <c r="J7" s="53"/>
      <c r="K7" s="53" t="s">
        <v>6</v>
      </c>
      <c r="L7" s="53" t="s">
        <v>559</v>
      </c>
      <c r="M7" s="53"/>
      <c r="N7" s="53"/>
      <c r="O7" s="53"/>
      <c r="P7" s="330" t="s">
        <v>8</v>
      </c>
      <c r="Q7" s="330"/>
      <c r="R7" s="330"/>
      <c r="S7" s="330"/>
      <c r="T7" s="330"/>
      <c r="U7" s="231"/>
      <c r="V7" s="231"/>
      <c r="W7" s="231"/>
      <c r="X7" s="59"/>
    </row>
    <row r="8" spans="1:24">
      <c r="A8" s="33" t="s">
        <v>9</v>
      </c>
      <c r="B8" s="3"/>
      <c r="C8" s="3"/>
      <c r="D8" s="3"/>
      <c r="E8" s="3"/>
      <c r="F8" s="3"/>
      <c r="G8" s="3"/>
      <c r="H8" s="3"/>
      <c r="I8" s="3"/>
      <c r="J8" s="3"/>
      <c r="K8" s="3" t="s">
        <v>6</v>
      </c>
      <c r="L8" s="8" t="s">
        <v>529</v>
      </c>
      <c r="M8" s="8"/>
      <c r="N8" s="3"/>
      <c r="O8" s="3"/>
      <c r="P8" s="8" t="s">
        <v>11</v>
      </c>
      <c r="Q8" s="8"/>
      <c r="R8" s="8"/>
      <c r="S8" s="8"/>
      <c r="T8" s="8"/>
      <c r="U8" s="229"/>
      <c r="V8" s="229"/>
      <c r="W8" s="229"/>
      <c r="X8" s="34"/>
    </row>
    <row r="9" spans="1:24">
      <c r="A9" s="5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"/>
    </row>
    <row r="10" spans="1:24">
      <c r="A10" s="1964" t="s">
        <v>695</v>
      </c>
      <c r="B10" s="1965"/>
      <c r="C10" s="1965"/>
      <c r="D10" s="1965"/>
      <c r="E10" s="1965"/>
      <c r="F10" s="1965"/>
      <c r="G10" s="1965"/>
      <c r="H10" s="1965"/>
      <c r="I10" s="1965"/>
      <c r="J10" s="1965"/>
      <c r="K10" s="1965"/>
      <c r="L10" s="1965"/>
      <c r="M10" s="1965"/>
      <c r="N10" s="1965"/>
      <c r="O10" s="1965"/>
      <c r="P10" s="1965"/>
      <c r="Q10" s="1965"/>
      <c r="R10" s="1965"/>
      <c r="S10" s="1965"/>
      <c r="T10" s="1965"/>
      <c r="U10" s="1965"/>
      <c r="V10" s="1965"/>
      <c r="W10" s="1965"/>
      <c r="X10" s="1966"/>
    </row>
    <row r="11" spans="1:24">
      <c r="A11" s="1964" t="s">
        <v>696</v>
      </c>
      <c r="B11" s="1965"/>
      <c r="C11" s="1965"/>
      <c r="D11" s="1965"/>
      <c r="E11" s="1965"/>
      <c r="F11" s="1965"/>
      <c r="G11" s="1965"/>
      <c r="H11" s="1965"/>
      <c r="I11" s="1965"/>
      <c r="J11" s="1965"/>
      <c r="K11" s="1965"/>
      <c r="L11" s="1965"/>
      <c r="M11" s="1965"/>
      <c r="N11" s="1965"/>
      <c r="O11" s="1965"/>
      <c r="P11" s="1965"/>
      <c r="Q11" s="1965"/>
      <c r="R11" s="1965"/>
      <c r="S11" s="1965"/>
      <c r="T11" s="1965"/>
      <c r="U11" s="1965"/>
      <c r="V11" s="1965"/>
      <c r="W11" s="1965"/>
      <c r="X11" s="1966"/>
    </row>
    <row r="12" spans="1:24">
      <c r="A12" s="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2"/>
    </row>
    <row r="13" spans="1:24">
      <c r="A13" s="1321" t="s">
        <v>13</v>
      </c>
      <c r="B13" s="1322"/>
      <c r="C13" s="1322"/>
      <c r="D13" s="1322"/>
      <c r="E13" s="1322"/>
      <c r="F13" s="1322"/>
      <c r="G13" s="1322"/>
      <c r="H13" s="1322"/>
      <c r="I13" s="1322"/>
      <c r="J13" s="1322"/>
      <c r="K13" s="1322"/>
      <c r="L13" s="1394"/>
      <c r="M13" s="1395" t="s">
        <v>14</v>
      </c>
      <c r="N13" s="1396"/>
      <c r="O13" s="1396"/>
      <c r="P13" s="1397"/>
      <c r="Q13" s="1401" t="s">
        <v>121</v>
      </c>
      <c r="R13" s="1322"/>
      <c r="S13" s="1322"/>
      <c r="T13" s="1322"/>
      <c r="U13" s="1322"/>
      <c r="V13" s="1401" t="s">
        <v>15</v>
      </c>
      <c r="W13" s="1322"/>
      <c r="X13" s="1323"/>
    </row>
    <row r="14" spans="1:24">
      <c r="A14" s="1164" t="s">
        <v>16</v>
      </c>
      <c r="B14" s="1165"/>
      <c r="C14" s="1165"/>
      <c r="D14" s="1165"/>
      <c r="E14" s="1165"/>
      <c r="F14" s="1165"/>
      <c r="G14" s="1165"/>
      <c r="H14" s="1165"/>
      <c r="I14" s="1165"/>
      <c r="J14" s="1165"/>
      <c r="K14" s="1165"/>
      <c r="L14" s="1166"/>
      <c r="M14" s="1398"/>
      <c r="N14" s="1173"/>
      <c r="O14" s="1173"/>
      <c r="P14" s="1174"/>
      <c r="Q14" s="82" t="s">
        <v>122</v>
      </c>
      <c r="R14" s="1399" t="s">
        <v>123</v>
      </c>
      <c r="S14" s="1403"/>
      <c r="T14" s="1399" t="s">
        <v>124</v>
      </c>
      <c r="U14" s="1403"/>
      <c r="V14" s="1436" t="s">
        <v>17</v>
      </c>
      <c r="W14" s="1165"/>
      <c r="X14" s="1393"/>
    </row>
    <row r="15" spans="1:24">
      <c r="A15" s="1399">
        <v>1</v>
      </c>
      <c r="B15" s="1400"/>
      <c r="C15" s="1400"/>
      <c r="D15" s="1400"/>
      <c r="E15" s="1400"/>
      <c r="F15" s="1400"/>
      <c r="G15" s="1400"/>
      <c r="H15" s="1400"/>
      <c r="I15" s="1400"/>
      <c r="J15" s="1400"/>
      <c r="K15" s="1400"/>
      <c r="L15" s="1403"/>
      <c r="M15" s="1399">
        <v>2</v>
      </c>
      <c r="N15" s="1400"/>
      <c r="O15" s="1400"/>
      <c r="P15" s="1403"/>
      <c r="Q15" s="90">
        <v>3</v>
      </c>
      <c r="R15" s="1399">
        <v>4</v>
      </c>
      <c r="S15" s="1403"/>
      <c r="T15" s="1399">
        <v>5</v>
      </c>
      <c r="U15" s="1403"/>
      <c r="V15" s="1399">
        <v>6</v>
      </c>
      <c r="W15" s="1400"/>
      <c r="X15" s="1405"/>
    </row>
    <row r="16" spans="1:24">
      <c r="A16" s="1467" t="s">
        <v>540</v>
      </c>
      <c r="B16" s="1355"/>
      <c r="C16" s="1355"/>
      <c r="D16" s="1355"/>
      <c r="E16" s="1355"/>
      <c r="F16" s="1355"/>
      <c r="G16" s="1355"/>
      <c r="H16" s="1355"/>
      <c r="I16" s="1355"/>
      <c r="J16" s="1355"/>
      <c r="K16" s="1355"/>
      <c r="L16" s="1355"/>
      <c r="M16" s="88" t="s">
        <v>697</v>
      </c>
      <c r="N16" s="345"/>
      <c r="O16" s="345"/>
      <c r="P16" s="89"/>
      <c r="Q16" s="83"/>
      <c r="R16" s="83"/>
      <c r="S16" s="85"/>
      <c r="T16" s="84"/>
      <c r="U16" s="84"/>
      <c r="V16" s="1468">
        <f>V17+V32</f>
        <v>3713000000</v>
      </c>
      <c r="W16" s="1424"/>
      <c r="X16" s="1425"/>
    </row>
    <row r="17" spans="1:24">
      <c r="A17" s="1467" t="s">
        <v>542</v>
      </c>
      <c r="B17" s="1355"/>
      <c r="C17" s="1355"/>
      <c r="D17" s="1355"/>
      <c r="E17" s="1355"/>
      <c r="F17" s="1355"/>
      <c r="G17" s="1355"/>
      <c r="H17" s="1355"/>
      <c r="I17" s="1355"/>
      <c r="J17" s="1355"/>
      <c r="K17" s="1355"/>
      <c r="L17" s="1355"/>
      <c r="M17" s="83" t="s">
        <v>698</v>
      </c>
      <c r="N17" s="84"/>
      <c r="O17" s="84"/>
      <c r="P17" s="85"/>
      <c r="Q17" s="83"/>
      <c r="R17" s="83"/>
      <c r="S17" s="85"/>
      <c r="T17" s="84"/>
      <c r="U17" s="84"/>
      <c r="V17" s="1468">
        <f>V18</f>
        <v>3713000000</v>
      </c>
      <c r="W17" s="1424"/>
      <c r="X17" s="1425"/>
    </row>
    <row r="18" spans="1:24">
      <c r="A18" s="1467" t="s">
        <v>544</v>
      </c>
      <c r="B18" s="1355"/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83" t="s">
        <v>545</v>
      </c>
      <c r="N18" s="84"/>
      <c r="O18" s="84"/>
      <c r="P18" s="85"/>
      <c r="Q18" s="83"/>
      <c r="R18" s="83"/>
      <c r="S18" s="85"/>
      <c r="T18" s="84"/>
      <c r="U18" s="84"/>
      <c r="V18" s="1468">
        <f>V19</f>
        <v>3713000000</v>
      </c>
      <c r="W18" s="1424"/>
      <c r="X18" s="1425"/>
    </row>
    <row r="19" spans="1:24" ht="15" customHeight="1">
      <c r="A19" s="1467" t="s">
        <v>546</v>
      </c>
      <c r="B19" s="1355"/>
      <c r="C19" s="1355"/>
      <c r="D19" s="1355"/>
      <c r="E19" s="1355"/>
      <c r="F19" s="1355"/>
      <c r="G19" s="1355"/>
      <c r="H19" s="1355"/>
      <c r="I19" s="1355"/>
      <c r="J19" s="1355"/>
      <c r="K19" s="1355"/>
      <c r="L19" s="1355"/>
      <c r="M19" s="1968" t="s">
        <v>547</v>
      </c>
      <c r="N19" s="1969"/>
      <c r="O19" s="1969"/>
      <c r="P19" s="1970"/>
      <c r="Q19" s="336"/>
      <c r="R19" s="35"/>
      <c r="S19" s="36"/>
      <c r="T19" s="195"/>
      <c r="U19" s="195"/>
      <c r="V19" s="1954">
        <f>V20</f>
        <v>3713000000</v>
      </c>
      <c r="W19" s="1955"/>
      <c r="X19" s="1956"/>
    </row>
    <row r="20" spans="1:24" ht="28.5" customHeight="1">
      <c r="A20" s="1967" t="s">
        <v>699</v>
      </c>
      <c r="B20" s="1727"/>
      <c r="C20" s="1727"/>
      <c r="D20" s="1727"/>
      <c r="E20" s="1727"/>
      <c r="F20" s="1727"/>
      <c r="G20" s="1727"/>
      <c r="H20" s="1727"/>
      <c r="I20" s="1727"/>
      <c r="J20" s="1727"/>
      <c r="K20" s="1727"/>
      <c r="L20" s="1728"/>
      <c r="M20" s="1968" t="s">
        <v>700</v>
      </c>
      <c r="N20" s="1969"/>
      <c r="O20" s="1969"/>
      <c r="P20" s="1970"/>
      <c r="Q20" s="336"/>
      <c r="R20" s="1147"/>
      <c r="S20" s="1148"/>
      <c r="T20" s="1689"/>
      <c r="U20" s="1690"/>
      <c r="V20" s="1598">
        <f>SUM(V21:X26)</f>
        <v>3713000000</v>
      </c>
      <c r="W20" s="1422"/>
      <c r="X20" s="1423"/>
    </row>
    <row r="21" spans="1:24" ht="27.75" customHeight="1">
      <c r="A21" s="35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36"/>
      <c r="M21" s="1971" t="s">
        <v>701</v>
      </c>
      <c r="N21" s="1972"/>
      <c r="O21" s="1972"/>
      <c r="P21" s="1973"/>
      <c r="Q21" s="336">
        <v>1</v>
      </c>
      <c r="R21" s="1147" t="s">
        <v>368</v>
      </c>
      <c r="S21" s="1148"/>
      <c r="T21" s="1689">
        <v>2316000000</v>
      </c>
      <c r="U21" s="1690"/>
      <c r="V21" s="1598">
        <f t="shared" ref="V21:V26" si="0">T21*Q21</f>
        <v>2316000000</v>
      </c>
      <c r="W21" s="1422"/>
      <c r="X21" s="1423"/>
    </row>
    <row r="22" spans="1:24">
      <c r="A22" s="35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36"/>
      <c r="M22" s="63" t="s">
        <v>702</v>
      </c>
      <c r="N22" s="195"/>
      <c r="O22" s="195"/>
      <c r="P22" s="36"/>
      <c r="Q22" s="336">
        <v>1</v>
      </c>
      <c r="R22" s="1147" t="s">
        <v>368</v>
      </c>
      <c r="S22" s="1148"/>
      <c r="T22" s="1689">
        <v>430000000</v>
      </c>
      <c r="U22" s="1690"/>
      <c r="V22" s="1598">
        <f t="shared" si="0"/>
        <v>430000000</v>
      </c>
      <c r="W22" s="1422"/>
      <c r="X22" s="1423"/>
    </row>
    <row r="23" spans="1:24">
      <c r="A23" s="35"/>
      <c r="B23" s="57"/>
      <c r="C23" s="195"/>
      <c r="D23" s="57"/>
      <c r="E23" s="57"/>
      <c r="F23" s="57"/>
      <c r="G23" s="57"/>
      <c r="H23" s="57"/>
      <c r="I23" s="195"/>
      <c r="J23" s="195"/>
      <c r="K23" s="57"/>
      <c r="L23" s="62"/>
      <c r="M23" s="63" t="s">
        <v>703</v>
      </c>
      <c r="N23" s="195"/>
      <c r="O23" s="195"/>
      <c r="P23" s="36"/>
      <c r="Q23" s="336">
        <v>1</v>
      </c>
      <c r="R23" s="1147" t="s">
        <v>368</v>
      </c>
      <c r="S23" s="1148"/>
      <c r="T23" s="1349">
        <v>90000000</v>
      </c>
      <c r="U23" s="1350"/>
      <c r="V23" s="1598">
        <f t="shared" si="0"/>
        <v>90000000</v>
      </c>
      <c r="W23" s="1422"/>
      <c r="X23" s="1423"/>
    </row>
    <row r="24" spans="1:24">
      <c r="A24" s="35"/>
      <c r="B24" s="61"/>
      <c r="C24" s="45"/>
      <c r="D24" s="61"/>
      <c r="E24" s="61"/>
      <c r="F24" s="61"/>
      <c r="G24" s="61"/>
      <c r="H24" s="61"/>
      <c r="I24" s="45"/>
      <c r="J24" s="45"/>
      <c r="K24" s="57"/>
      <c r="L24" s="62"/>
      <c r="M24" s="63" t="s">
        <v>704</v>
      </c>
      <c r="N24" s="195"/>
      <c r="O24" s="195"/>
      <c r="P24" s="36"/>
      <c r="Q24" s="336">
        <v>1</v>
      </c>
      <c r="R24" s="1147" t="s">
        <v>368</v>
      </c>
      <c r="S24" s="1148"/>
      <c r="T24" s="1349">
        <v>150000000</v>
      </c>
      <c r="U24" s="1350"/>
      <c r="V24" s="1598">
        <f t="shared" si="0"/>
        <v>150000000</v>
      </c>
      <c r="W24" s="1422"/>
      <c r="X24" s="1423"/>
    </row>
    <row r="25" spans="1:24">
      <c r="A25" s="35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36"/>
      <c r="M25" s="63" t="s">
        <v>705</v>
      </c>
      <c r="N25" s="195"/>
      <c r="O25" s="195"/>
      <c r="P25" s="36"/>
      <c r="Q25" s="336">
        <v>1</v>
      </c>
      <c r="R25" s="1147" t="s">
        <v>368</v>
      </c>
      <c r="S25" s="1148"/>
      <c r="T25" s="1977">
        <v>667000000</v>
      </c>
      <c r="U25" s="1978"/>
      <c r="V25" s="1598">
        <f t="shared" si="0"/>
        <v>667000000</v>
      </c>
      <c r="W25" s="1422"/>
      <c r="X25" s="1423"/>
    </row>
    <row r="26" spans="1:24" ht="15.75" customHeight="1">
      <c r="A26" s="1467"/>
      <c r="B26" s="1355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971" t="s">
        <v>706</v>
      </c>
      <c r="N26" s="1969"/>
      <c r="O26" s="1969"/>
      <c r="P26" s="1970"/>
      <c r="Q26" s="336">
        <v>1</v>
      </c>
      <c r="R26" s="1147" t="s">
        <v>368</v>
      </c>
      <c r="S26" s="1148"/>
      <c r="T26" s="1349">
        <v>60000000</v>
      </c>
      <c r="U26" s="1350"/>
      <c r="V26" s="1598">
        <f t="shared" si="0"/>
        <v>60000000</v>
      </c>
      <c r="W26" s="1422"/>
      <c r="X26" s="1423"/>
    </row>
    <row r="27" spans="1:24">
      <c r="A27" s="35"/>
      <c r="B27" s="57"/>
      <c r="C27" s="195"/>
      <c r="D27" s="57"/>
      <c r="E27" s="57"/>
      <c r="F27" s="57"/>
      <c r="G27" s="57"/>
      <c r="H27" s="57"/>
      <c r="I27" s="195"/>
      <c r="J27" s="195"/>
      <c r="K27" s="57"/>
      <c r="L27" s="62"/>
      <c r="M27" s="35"/>
      <c r="N27" s="195"/>
      <c r="O27" s="195"/>
      <c r="P27" s="36"/>
      <c r="Q27" s="35"/>
      <c r="R27" s="35"/>
      <c r="S27" s="36"/>
      <c r="T27" s="195"/>
      <c r="U27" s="195"/>
      <c r="V27" s="1687"/>
      <c r="W27" s="1957"/>
      <c r="X27" s="1958"/>
    </row>
    <row r="28" spans="1:24">
      <c r="A28" s="35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36"/>
      <c r="M28" s="63"/>
      <c r="N28" s="195"/>
      <c r="O28" s="195"/>
      <c r="P28" s="36"/>
      <c r="Q28" s="35"/>
      <c r="R28" s="35"/>
      <c r="S28" s="36"/>
      <c r="T28" s="1689"/>
      <c r="U28" s="1690"/>
      <c r="V28" s="1687"/>
      <c r="W28" s="1146"/>
      <c r="X28" s="1149"/>
    </row>
    <row r="29" spans="1:24">
      <c r="A29" s="35"/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36"/>
      <c r="M29" s="63"/>
      <c r="N29" s="195"/>
      <c r="O29" s="195"/>
      <c r="P29" s="36"/>
      <c r="Q29" s="35"/>
      <c r="R29" s="35"/>
      <c r="S29" s="36"/>
      <c r="T29" s="195"/>
      <c r="U29" s="195"/>
      <c r="V29" s="35"/>
      <c r="W29" s="195"/>
      <c r="X29" s="2"/>
    </row>
    <row r="30" spans="1:24">
      <c r="A30" s="35"/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36"/>
      <c r="M30" s="63"/>
      <c r="N30" s="195"/>
      <c r="O30" s="195"/>
      <c r="P30" s="36"/>
      <c r="Q30" s="35"/>
      <c r="R30" s="35"/>
      <c r="S30" s="36"/>
      <c r="T30" s="195"/>
      <c r="U30" s="195"/>
      <c r="V30" s="35"/>
      <c r="W30" s="195"/>
      <c r="X30" s="2"/>
    </row>
    <row r="31" spans="1:24">
      <c r="A31" s="35"/>
      <c r="B31" s="57"/>
      <c r="C31" s="195"/>
      <c r="D31" s="57"/>
      <c r="E31" s="57"/>
      <c r="F31" s="57"/>
      <c r="G31" s="57"/>
      <c r="H31" s="57"/>
      <c r="I31" s="195"/>
      <c r="J31" s="195"/>
      <c r="K31" s="57"/>
      <c r="L31" s="62"/>
      <c r="M31" s="63"/>
      <c r="N31" s="195"/>
      <c r="O31" s="195"/>
      <c r="P31" s="36"/>
      <c r="Q31" s="35"/>
      <c r="R31" s="35"/>
      <c r="S31" s="36"/>
      <c r="T31" s="195"/>
      <c r="U31" s="195"/>
      <c r="V31" s="35"/>
      <c r="W31" s="195"/>
      <c r="X31" s="2"/>
    </row>
    <row r="32" spans="1:24">
      <c r="A32" s="83"/>
      <c r="B32" s="144"/>
      <c r="C32" s="84"/>
      <c r="D32" s="144"/>
      <c r="E32" s="144"/>
      <c r="F32" s="144"/>
      <c r="G32" s="144"/>
      <c r="H32" s="144"/>
      <c r="I32" s="84"/>
      <c r="J32" s="84"/>
      <c r="K32" s="195"/>
      <c r="L32" s="36"/>
      <c r="M32" s="92"/>
      <c r="N32" s="195"/>
      <c r="O32" s="195"/>
      <c r="P32" s="36"/>
      <c r="Q32" s="35"/>
      <c r="R32" s="35"/>
      <c r="S32" s="36"/>
      <c r="T32" s="195"/>
      <c r="U32" s="195"/>
      <c r="V32" s="1147"/>
      <c r="W32" s="1146"/>
      <c r="X32" s="1149"/>
    </row>
    <row r="33" spans="1:28">
      <c r="A33" s="83"/>
      <c r="B33" s="144"/>
      <c r="C33" s="84"/>
      <c r="D33" s="144"/>
      <c r="E33" s="144"/>
      <c r="F33" s="144"/>
      <c r="G33" s="144"/>
      <c r="H33" s="144"/>
      <c r="I33" s="84"/>
      <c r="J33" s="84"/>
      <c r="K33" s="144"/>
      <c r="L33" s="36"/>
      <c r="M33" s="92"/>
      <c r="N33" s="195"/>
      <c r="O33" s="195"/>
      <c r="P33" s="36"/>
      <c r="Q33" s="35"/>
      <c r="R33" s="35"/>
      <c r="S33" s="36"/>
      <c r="T33" s="195"/>
      <c r="U33" s="195"/>
      <c r="V33" s="35"/>
      <c r="W33" s="195"/>
      <c r="X33" s="2"/>
    </row>
    <row r="34" spans="1:28">
      <c r="A34" s="93"/>
      <c r="B34" s="67"/>
      <c r="C34" s="66"/>
      <c r="D34" s="67"/>
      <c r="E34" s="67"/>
      <c r="F34" s="67"/>
      <c r="G34" s="67"/>
      <c r="H34" s="67"/>
      <c r="I34" s="66"/>
      <c r="J34" s="66"/>
      <c r="K34" s="57"/>
      <c r="L34" s="62"/>
      <c r="M34" s="93"/>
      <c r="N34" s="195"/>
      <c r="O34" s="195"/>
      <c r="P34" s="36"/>
      <c r="Q34" s="35"/>
      <c r="R34" s="35"/>
      <c r="S34" s="36"/>
      <c r="T34" s="1689"/>
      <c r="U34" s="1690"/>
      <c r="V34" s="1689"/>
      <c r="W34" s="1918"/>
      <c r="X34" s="1919"/>
    </row>
    <row r="35" spans="1:28">
      <c r="A35" s="33"/>
      <c r="B35" s="3"/>
      <c r="C35" s="3"/>
      <c r="D35" s="3"/>
      <c r="E35" s="3"/>
      <c r="F35" s="3"/>
      <c r="G35" s="3"/>
      <c r="H35" s="3"/>
      <c r="I35" s="3"/>
      <c r="J35" s="3"/>
      <c r="K35" s="3"/>
      <c r="L35" s="34"/>
      <c r="M35" s="35"/>
      <c r="N35" s="195"/>
      <c r="O35" s="195"/>
      <c r="P35" s="36"/>
      <c r="Q35" s="35"/>
      <c r="R35" s="35"/>
      <c r="S35" s="36"/>
      <c r="T35" s="195"/>
      <c r="U35" s="195"/>
      <c r="V35" s="35"/>
      <c r="W35" s="195"/>
      <c r="X35" s="2"/>
    </row>
    <row r="36" spans="1:28">
      <c r="A36" s="1150" t="s">
        <v>110</v>
      </c>
      <c r="B36" s="1151"/>
      <c r="C36" s="1151"/>
      <c r="D36" s="1151"/>
      <c r="E36" s="1151"/>
      <c r="F36" s="1151"/>
      <c r="G36" s="1151"/>
      <c r="H36" s="1151"/>
      <c r="I36" s="1151"/>
      <c r="J36" s="1151"/>
      <c r="K36" s="1151"/>
      <c r="L36" s="1151"/>
      <c r="M36" s="1151"/>
      <c r="N36" s="1151"/>
      <c r="O36" s="1151"/>
      <c r="P36" s="1151"/>
      <c r="Q36" s="1151"/>
      <c r="R36" s="1151"/>
      <c r="S36" s="1151"/>
      <c r="T36" s="1151"/>
      <c r="U36" s="1152"/>
      <c r="V36" s="1595">
        <f>SUM(V20 )</f>
        <v>3713000000</v>
      </c>
      <c r="W36" s="1596"/>
      <c r="X36" s="1597"/>
    </row>
    <row r="37" spans="1:28">
      <c r="A37" s="5" t="s">
        <v>105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01" t="s">
        <v>584</v>
      </c>
      <c r="S37" s="1759"/>
      <c r="T37" s="1759"/>
      <c r="U37" s="1759"/>
      <c r="V37" s="1759"/>
      <c r="W37" s="1759"/>
      <c r="X37" s="1760"/>
    </row>
    <row r="38" spans="1:28">
      <c r="A38" s="5" t="s">
        <v>106</v>
      </c>
      <c r="B38" s="195"/>
      <c r="C38" s="195"/>
      <c r="D38" s="195"/>
      <c r="E38" s="195" t="s">
        <v>6</v>
      </c>
      <c r="F38" s="195" t="s">
        <v>17</v>
      </c>
      <c r="G38" s="1128">
        <v>928250000</v>
      </c>
      <c r="H38" s="1128"/>
      <c r="I38" s="1128"/>
      <c r="J38" s="1128"/>
      <c r="K38" s="1128"/>
      <c r="L38" s="1128"/>
      <c r="M38" s="1128"/>
      <c r="N38" s="195"/>
      <c r="O38" s="195"/>
      <c r="P38" s="195"/>
      <c r="Q38" s="195"/>
      <c r="R38" s="1901" t="s">
        <v>585</v>
      </c>
      <c r="S38" s="1759"/>
      <c r="T38" s="1759"/>
      <c r="U38" s="1759"/>
      <c r="V38" s="1759"/>
      <c r="W38" s="1759"/>
      <c r="X38" s="1760"/>
      <c r="AB38" s="79">
        <f>V36/4</f>
        <v>928250000</v>
      </c>
    </row>
    <row r="39" spans="1:28">
      <c r="A39" s="5" t="s">
        <v>107</v>
      </c>
      <c r="B39" s="195"/>
      <c r="C39" s="195"/>
      <c r="D39" s="195"/>
      <c r="E39" s="195" t="s">
        <v>6</v>
      </c>
      <c r="F39" s="195" t="s">
        <v>17</v>
      </c>
      <c r="G39" s="1128">
        <v>928250000</v>
      </c>
      <c r="H39" s="1128"/>
      <c r="I39" s="1128"/>
      <c r="J39" s="1128"/>
      <c r="K39" s="1128"/>
      <c r="L39" s="1128"/>
      <c r="M39" s="1128"/>
      <c r="N39" s="195"/>
      <c r="O39" s="195"/>
      <c r="P39" s="195"/>
      <c r="Q39" s="195"/>
      <c r="R39" s="327"/>
      <c r="S39" s="1759" t="s">
        <v>537</v>
      </c>
      <c r="T39" s="1759"/>
      <c r="U39" s="1759"/>
      <c r="V39" s="1759"/>
      <c r="W39" s="1759"/>
      <c r="X39" s="329"/>
    </row>
    <row r="40" spans="1:28">
      <c r="A40" s="5" t="s">
        <v>108</v>
      </c>
      <c r="B40" s="195"/>
      <c r="C40" s="195"/>
      <c r="D40" s="195"/>
      <c r="E40" s="195" t="s">
        <v>6</v>
      </c>
      <c r="F40" s="195" t="s">
        <v>17</v>
      </c>
      <c r="G40" s="1128">
        <v>928250000</v>
      </c>
      <c r="H40" s="1128"/>
      <c r="I40" s="1128"/>
      <c r="J40" s="1128"/>
      <c r="K40" s="1128"/>
      <c r="L40" s="1128"/>
      <c r="M40" s="1128"/>
      <c r="N40" s="195"/>
      <c r="O40" s="195"/>
      <c r="P40" s="195"/>
      <c r="Q40" s="195"/>
      <c r="R40" s="35"/>
      <c r="S40" s="195"/>
      <c r="T40" s="195"/>
      <c r="U40" s="195"/>
      <c r="V40" s="195"/>
      <c r="W40" s="195"/>
      <c r="X40" s="2"/>
    </row>
    <row r="41" spans="1:28">
      <c r="A41" s="5" t="s">
        <v>109</v>
      </c>
      <c r="B41" s="195"/>
      <c r="C41" s="195"/>
      <c r="D41" s="195"/>
      <c r="E41" s="195" t="s">
        <v>6</v>
      </c>
      <c r="F41" s="195" t="s">
        <v>17</v>
      </c>
      <c r="G41" s="1974">
        <v>928250000</v>
      </c>
      <c r="H41" s="1974"/>
      <c r="I41" s="1974"/>
      <c r="J41" s="1974"/>
      <c r="K41" s="1974"/>
      <c r="L41" s="1974"/>
      <c r="M41" s="1974"/>
      <c r="N41" s="195"/>
      <c r="O41" s="195"/>
      <c r="P41" s="195"/>
      <c r="Q41" s="195"/>
      <c r="R41" s="35"/>
      <c r="S41" s="195"/>
      <c r="T41" s="195"/>
      <c r="U41" s="195"/>
      <c r="V41" s="195"/>
      <c r="W41" s="195"/>
      <c r="X41" s="2"/>
    </row>
    <row r="42" spans="1:28">
      <c r="A42" s="5" t="s">
        <v>15</v>
      </c>
      <c r="B42" s="195"/>
      <c r="C42" s="195"/>
      <c r="D42" s="195"/>
      <c r="E42" s="195" t="s">
        <v>6</v>
      </c>
      <c r="F42" s="195" t="s">
        <v>17</v>
      </c>
      <c r="G42" s="1975">
        <f>G38+G39+G40+G41</f>
        <v>3713000000</v>
      </c>
      <c r="H42" s="1976"/>
      <c r="I42" s="1976"/>
      <c r="J42" s="1976"/>
      <c r="K42" s="1976"/>
      <c r="L42" s="1976"/>
      <c r="M42" s="1976"/>
      <c r="N42" s="195"/>
      <c r="O42" s="195"/>
      <c r="P42" s="195"/>
      <c r="Q42" s="195"/>
      <c r="R42" s="1427" t="s">
        <v>192</v>
      </c>
      <c r="S42" s="1357"/>
      <c r="T42" s="1357"/>
      <c r="U42" s="1357"/>
      <c r="V42" s="1357"/>
      <c r="W42" s="1357"/>
      <c r="X42" s="1358"/>
    </row>
    <row r="43" spans="1:28">
      <c r="A43" s="5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456" t="s">
        <v>112</v>
      </c>
      <c r="S43" s="1146"/>
      <c r="T43" s="1146"/>
      <c r="U43" s="1146"/>
      <c r="V43" s="1146"/>
      <c r="W43" s="1146"/>
      <c r="X43" s="1149"/>
    </row>
    <row r="44" spans="1:28">
      <c r="A44" s="5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3"/>
      <c r="R44" s="1455"/>
      <c r="S44" s="1143"/>
      <c r="T44" s="1143"/>
      <c r="U44" s="1143"/>
      <c r="V44" s="1143"/>
      <c r="W44" s="1143"/>
      <c r="X44" s="1144"/>
    </row>
    <row r="45" spans="1:28">
      <c r="A45" s="1418" t="s">
        <v>113</v>
      </c>
      <c r="B45" s="1400"/>
      <c r="C45" s="1400"/>
      <c r="D45" s="1400"/>
      <c r="E45" s="1400"/>
      <c r="F45" s="1400"/>
      <c r="G45" s="1400"/>
      <c r="H45" s="1400"/>
      <c r="I45" s="1400"/>
      <c r="J45" s="1400"/>
      <c r="K45" s="1400"/>
      <c r="L45" s="1400"/>
      <c r="M45" s="1400"/>
      <c r="N45" s="1400"/>
      <c r="O45" s="1400"/>
      <c r="P45" s="1400"/>
      <c r="Q45" s="3"/>
      <c r="R45" s="1456" t="s">
        <v>538</v>
      </c>
      <c r="S45" s="1146"/>
      <c r="T45" s="1146"/>
      <c r="U45" s="1146"/>
      <c r="V45" s="1146"/>
      <c r="W45" s="1146"/>
      <c r="X45" s="1149"/>
    </row>
    <row r="46" spans="1:28">
      <c r="A46" s="334"/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195"/>
      <c r="R46" s="336"/>
      <c r="S46" s="338"/>
      <c r="T46" s="338"/>
      <c r="U46" s="338"/>
      <c r="V46" s="338"/>
      <c r="W46" s="338"/>
      <c r="X46" s="337"/>
    </row>
    <row r="47" spans="1:28">
      <c r="A47" s="5">
        <v>1</v>
      </c>
      <c r="B47" s="195" t="s">
        <v>707</v>
      </c>
      <c r="D47" s="195"/>
      <c r="E47" s="195"/>
      <c r="F47" s="195"/>
      <c r="G47" s="195"/>
      <c r="H47" s="195"/>
      <c r="I47" s="195"/>
      <c r="J47" s="195"/>
      <c r="K47" s="195" t="s">
        <v>193</v>
      </c>
      <c r="L47" s="195"/>
      <c r="M47" s="195"/>
      <c r="N47" s="195"/>
      <c r="O47" s="195"/>
      <c r="P47" s="195"/>
      <c r="Q47" s="195"/>
      <c r="R47" s="1147" t="s">
        <v>155</v>
      </c>
      <c r="S47" s="1146"/>
      <c r="T47" s="1146"/>
      <c r="U47" s="1146"/>
      <c r="V47" s="1146"/>
      <c r="W47" s="1146"/>
      <c r="X47" s="1149"/>
    </row>
    <row r="48" spans="1:28">
      <c r="A48" s="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147" t="s">
        <v>114</v>
      </c>
      <c r="S48" s="1146"/>
      <c r="T48" s="1146"/>
      <c r="U48" s="1146"/>
      <c r="V48" s="1146"/>
      <c r="W48" s="1146"/>
      <c r="X48" s="1149"/>
    </row>
    <row r="49" spans="1:24">
      <c r="A49" s="5">
        <v>2</v>
      </c>
      <c r="B49" s="195" t="s">
        <v>708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 t="s">
        <v>195</v>
      </c>
      <c r="O49" s="195"/>
      <c r="P49" s="195"/>
      <c r="Q49" s="195"/>
      <c r="R49" s="35"/>
      <c r="S49" s="195"/>
      <c r="T49" s="195"/>
      <c r="U49" s="195"/>
      <c r="V49" s="195"/>
      <c r="W49" s="195"/>
      <c r="X49" s="2"/>
    </row>
    <row r="50" spans="1:24">
      <c r="A50" s="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35"/>
      <c r="S50" s="195"/>
      <c r="T50" s="195"/>
      <c r="U50" s="195"/>
      <c r="V50" s="195"/>
      <c r="W50" s="195"/>
      <c r="X50" s="2"/>
    </row>
    <row r="51" spans="1:24">
      <c r="A51" s="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35"/>
      <c r="S51" s="195"/>
      <c r="T51" s="195"/>
      <c r="U51" s="195"/>
      <c r="V51" s="195"/>
      <c r="W51" s="195"/>
      <c r="X51" s="2"/>
    </row>
    <row r="52" spans="1:24">
      <c r="A52" s="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427" t="s">
        <v>115</v>
      </c>
      <c r="S52" s="1357"/>
      <c r="T52" s="1357"/>
      <c r="U52" s="1357"/>
      <c r="V52" s="1357"/>
      <c r="W52" s="1357"/>
      <c r="X52" s="1358"/>
    </row>
    <row r="53" spans="1:24">
      <c r="A53" s="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456" t="s">
        <v>111</v>
      </c>
      <c r="S53" s="1359"/>
      <c r="T53" s="1359"/>
      <c r="U53" s="1359"/>
      <c r="V53" s="1359"/>
      <c r="W53" s="1359"/>
      <c r="X53" s="1360"/>
    </row>
    <row r="54" spans="1:24">
      <c r="A54" s="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147" t="s">
        <v>116</v>
      </c>
      <c r="S54" s="1146"/>
      <c r="T54" s="1146"/>
      <c r="U54" s="1146"/>
      <c r="V54" s="1146"/>
      <c r="W54" s="1146"/>
      <c r="X54" s="1149"/>
    </row>
    <row r="55" spans="1:24" ht="15.75" thickBot="1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50"/>
      <c r="S55" s="49"/>
      <c r="T55" s="49"/>
      <c r="U55" s="49"/>
      <c r="V55" s="49"/>
      <c r="W55" s="49"/>
      <c r="X55" s="86"/>
    </row>
  </sheetData>
  <mergeCells count="91">
    <mergeCell ref="A1:O2"/>
    <mergeCell ref="P1:V2"/>
    <mergeCell ref="W1:X1"/>
    <mergeCell ref="W2:X2"/>
    <mergeCell ref="A3:O4"/>
    <mergeCell ref="P3:P4"/>
    <mergeCell ref="Q3:Q4"/>
    <mergeCell ref="R3:R4"/>
    <mergeCell ref="S3:S4"/>
    <mergeCell ref="T3:T4"/>
    <mergeCell ref="U3:U4"/>
    <mergeCell ref="V3:V4"/>
    <mergeCell ref="W3:X4"/>
    <mergeCell ref="A5:X5"/>
    <mergeCell ref="A6:X6"/>
    <mergeCell ref="A13:L13"/>
    <mergeCell ref="M13:P14"/>
    <mergeCell ref="Q13:U13"/>
    <mergeCell ref="V13:X13"/>
    <mergeCell ref="A14:L14"/>
    <mergeCell ref="R14:S14"/>
    <mergeCell ref="T14:U14"/>
    <mergeCell ref="V18:X18"/>
    <mergeCell ref="V14:X14"/>
    <mergeCell ref="A15:L15"/>
    <mergeCell ref="M15:P15"/>
    <mergeCell ref="R15:S15"/>
    <mergeCell ref="T15:U15"/>
    <mergeCell ref="V15:X15"/>
    <mergeCell ref="V16:X16"/>
    <mergeCell ref="A17:L17"/>
    <mergeCell ref="V17:X17"/>
    <mergeCell ref="A18:L18"/>
    <mergeCell ref="R25:S25"/>
    <mergeCell ref="T25:U25"/>
    <mergeCell ref="V25:X25"/>
    <mergeCell ref="T24:U24"/>
    <mergeCell ref="R21:S21"/>
    <mergeCell ref="T21:U21"/>
    <mergeCell ref="V21:X21"/>
    <mergeCell ref="R22:S22"/>
    <mergeCell ref="T22:U22"/>
    <mergeCell ref="V22:X22"/>
    <mergeCell ref="R23:S23"/>
    <mergeCell ref="T23:U23"/>
    <mergeCell ref="V23:X23"/>
    <mergeCell ref="R24:S24"/>
    <mergeCell ref="V24:X24"/>
    <mergeCell ref="A36:U36"/>
    <mergeCell ref="V36:X36"/>
    <mergeCell ref="A26:L26"/>
    <mergeCell ref="M26:P26"/>
    <mergeCell ref="R26:S26"/>
    <mergeCell ref="T26:U26"/>
    <mergeCell ref="V26:X26"/>
    <mergeCell ref="V27:X27"/>
    <mergeCell ref="T28:U28"/>
    <mergeCell ref="V28:X28"/>
    <mergeCell ref="V32:X32"/>
    <mergeCell ref="T34:U34"/>
    <mergeCell ref="V34:X34"/>
    <mergeCell ref="G41:M41"/>
    <mergeCell ref="G42:M42"/>
    <mergeCell ref="R37:X37"/>
    <mergeCell ref="R38:X38"/>
    <mergeCell ref="S39:W39"/>
    <mergeCell ref="G38:M38"/>
    <mergeCell ref="G39:M39"/>
    <mergeCell ref="G40:M40"/>
    <mergeCell ref="R42:X42"/>
    <mergeCell ref="R43:X43"/>
    <mergeCell ref="R44:X44"/>
    <mergeCell ref="A45:P45"/>
    <mergeCell ref="R45:X45"/>
    <mergeCell ref="A10:X10"/>
    <mergeCell ref="A11:X11"/>
    <mergeCell ref="A20:L20"/>
    <mergeCell ref="M20:P20"/>
    <mergeCell ref="M21:P21"/>
    <mergeCell ref="A19:L19"/>
    <mergeCell ref="M19:P19"/>
    <mergeCell ref="V19:X19"/>
    <mergeCell ref="R20:S20"/>
    <mergeCell ref="T20:U20"/>
    <mergeCell ref="V20:X20"/>
    <mergeCell ref="A16:L16"/>
    <mergeCell ref="R47:X47"/>
    <mergeCell ref="R48:X48"/>
    <mergeCell ref="R52:X52"/>
    <mergeCell ref="R53:X53"/>
    <mergeCell ref="R54:X54"/>
  </mergeCells>
  <pageMargins left="0.7" right="0.7" top="0.75" bottom="0.75" header="0.3" footer="0.3"/>
  <pageSetup paperSize="5" scale="80" orientation="portrait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3:K123"/>
  <sheetViews>
    <sheetView topLeftCell="A13" zoomScale="78" zoomScaleNormal="78" workbookViewId="0">
      <selection activeCell="D13" sqref="D13"/>
    </sheetView>
  </sheetViews>
  <sheetFormatPr defaultRowHeight="15"/>
  <cols>
    <col min="2" max="2" width="23.42578125" customWidth="1"/>
    <col min="3" max="3" width="15.7109375" customWidth="1"/>
    <col min="4" max="5" width="20.5703125" customWidth="1"/>
    <col min="6" max="6" width="17.85546875" customWidth="1"/>
    <col min="7" max="7" width="20.140625" customWidth="1"/>
    <col min="8" max="8" width="16.28515625" customWidth="1"/>
    <col min="9" max="9" width="17.85546875" customWidth="1"/>
    <col min="10" max="10" width="14.28515625" bestFit="1" customWidth="1"/>
  </cols>
  <sheetData>
    <row r="3" spans="1:7">
      <c r="A3" t="s">
        <v>551</v>
      </c>
      <c r="B3" t="s">
        <v>772</v>
      </c>
      <c r="D3" t="s">
        <v>820</v>
      </c>
      <c r="G3" s="78"/>
    </row>
    <row r="4" spans="1:7">
      <c r="A4" t="s">
        <v>771</v>
      </c>
      <c r="B4" t="s">
        <v>768</v>
      </c>
      <c r="C4" s="376">
        <v>1182000</v>
      </c>
      <c r="G4" s="78"/>
    </row>
    <row r="5" spans="1:7">
      <c r="B5" t="s">
        <v>770</v>
      </c>
      <c r="C5" s="376">
        <v>42350000</v>
      </c>
      <c r="G5" s="78"/>
    </row>
    <row r="6" spans="1:7">
      <c r="B6" t="s">
        <v>821</v>
      </c>
      <c r="C6" s="376"/>
      <c r="D6">
        <v>40000000</v>
      </c>
      <c r="G6" s="78"/>
    </row>
    <row r="7" spans="1:7">
      <c r="B7" t="s">
        <v>773</v>
      </c>
      <c r="C7" s="376">
        <v>14756300</v>
      </c>
      <c r="G7" s="78"/>
    </row>
    <row r="8" spans="1:7">
      <c r="B8" t="s">
        <v>774</v>
      </c>
      <c r="C8" s="376">
        <v>15019700</v>
      </c>
    </row>
    <row r="9" spans="1:7">
      <c r="B9" t="s">
        <v>775</v>
      </c>
      <c r="C9" s="376">
        <v>3337000</v>
      </c>
      <c r="F9" s="399"/>
    </row>
    <row r="10" spans="1:7">
      <c r="B10" t="s">
        <v>780</v>
      </c>
      <c r="C10" s="376">
        <v>10720000</v>
      </c>
    </row>
    <row r="11" spans="1:7">
      <c r="B11" t="s">
        <v>776</v>
      </c>
      <c r="C11" s="376">
        <v>3780000</v>
      </c>
    </row>
    <row r="12" spans="1:7">
      <c r="B12" t="s">
        <v>777</v>
      </c>
      <c r="C12" s="376">
        <v>11000000</v>
      </c>
    </row>
    <row r="13" spans="1:7">
      <c r="B13" t="s">
        <v>778</v>
      </c>
      <c r="C13" s="376">
        <v>125000000</v>
      </c>
    </row>
    <row r="14" spans="1:7">
      <c r="B14" t="s">
        <v>779</v>
      </c>
      <c r="C14" s="376">
        <v>11300000</v>
      </c>
    </row>
    <row r="15" spans="1:7">
      <c r="B15" t="s">
        <v>781</v>
      </c>
      <c r="C15" s="376">
        <v>27240000</v>
      </c>
    </row>
    <row r="16" spans="1:7">
      <c r="B16" t="s">
        <v>782</v>
      </c>
      <c r="C16" s="376">
        <v>6380000</v>
      </c>
      <c r="D16" s="78">
        <v>3250000</v>
      </c>
      <c r="E16" s="78"/>
    </row>
    <row r="17" spans="1:7">
      <c r="B17" t="s">
        <v>791</v>
      </c>
      <c r="C17" s="376">
        <v>79820000</v>
      </c>
    </row>
    <row r="18" spans="1:7">
      <c r="B18" t="s">
        <v>783</v>
      </c>
      <c r="C18" s="376">
        <v>49950000</v>
      </c>
    </row>
    <row r="19" spans="1:7">
      <c r="B19" t="s">
        <v>784</v>
      </c>
      <c r="C19" s="376">
        <v>7025000</v>
      </c>
    </row>
    <row r="20" spans="1:7">
      <c r="B20" t="s">
        <v>785</v>
      </c>
      <c r="C20" s="376">
        <v>2500000</v>
      </c>
      <c r="D20" s="78"/>
      <c r="E20" s="78"/>
    </row>
    <row r="21" spans="1:7">
      <c r="C21" s="263">
        <f>SUM(C4:C20)</f>
        <v>411360000</v>
      </c>
      <c r="D21" s="263">
        <f>SUM(D4:D20)</f>
        <v>43250000</v>
      </c>
      <c r="E21" s="263">
        <f>C21+D21</f>
        <v>454610000</v>
      </c>
      <c r="F21" t="s">
        <v>525</v>
      </c>
    </row>
    <row r="22" spans="1:7">
      <c r="C22" s="263"/>
      <c r="D22" s="263"/>
      <c r="E22" s="78"/>
    </row>
    <row r="23" spans="1:7">
      <c r="C23" s="263"/>
      <c r="D23" s="263"/>
      <c r="E23" s="78"/>
    </row>
    <row r="24" spans="1:7">
      <c r="A24" s="262" t="s">
        <v>799</v>
      </c>
      <c r="B24" s="262"/>
      <c r="C24" s="262"/>
      <c r="D24" s="263"/>
      <c r="E24" s="78"/>
    </row>
    <row r="25" spans="1:7">
      <c r="A25" t="s">
        <v>360</v>
      </c>
      <c r="D25" s="394" t="s">
        <v>822</v>
      </c>
    </row>
    <row r="26" spans="1:7">
      <c r="B26" t="s">
        <v>786</v>
      </c>
      <c r="C26" s="376">
        <v>50000000</v>
      </c>
      <c r="D26">
        <v>0</v>
      </c>
    </row>
    <row r="27" spans="1:7" ht="27.75" customHeight="1">
      <c r="B27" s="395" t="s">
        <v>823</v>
      </c>
      <c r="C27" s="376">
        <v>200000000</v>
      </c>
      <c r="D27">
        <v>0</v>
      </c>
    </row>
    <row r="28" spans="1:7">
      <c r="B28" t="s">
        <v>787</v>
      </c>
      <c r="C28" s="376">
        <v>25000000</v>
      </c>
      <c r="D28">
        <v>0</v>
      </c>
    </row>
    <row r="29" spans="1:7">
      <c r="B29" t="s">
        <v>788</v>
      </c>
      <c r="C29" s="376">
        <v>100000000</v>
      </c>
      <c r="D29">
        <v>0</v>
      </c>
    </row>
    <row r="30" spans="1:7">
      <c r="B30" t="s">
        <v>789</v>
      </c>
      <c r="C30" s="376">
        <v>150000000</v>
      </c>
      <c r="D30">
        <v>0</v>
      </c>
    </row>
    <row r="31" spans="1:7">
      <c r="B31" t="s">
        <v>793</v>
      </c>
      <c r="C31" s="376">
        <v>199200000</v>
      </c>
      <c r="D31" s="376">
        <v>800000</v>
      </c>
      <c r="G31" s="78"/>
    </row>
    <row r="32" spans="1:7">
      <c r="B32" s="376">
        <f>SUM(B26:B31)</f>
        <v>0</v>
      </c>
      <c r="C32" s="381">
        <f>SUM(C26:C31)</f>
        <v>724200000</v>
      </c>
      <c r="D32" s="381">
        <f>SUM(D26:D31)</f>
        <v>800000</v>
      </c>
      <c r="E32" s="263">
        <f>C32+D32</f>
        <v>725000000</v>
      </c>
      <c r="F32" t="s">
        <v>525</v>
      </c>
    </row>
    <row r="33" spans="1:9">
      <c r="I33" s="402" t="s">
        <v>834</v>
      </c>
    </row>
    <row r="34" spans="1:9">
      <c r="I34" s="404" t="s">
        <v>835</v>
      </c>
    </row>
    <row r="35" spans="1:9">
      <c r="C35" s="376"/>
    </row>
    <row r="36" spans="1:9">
      <c r="C36" s="376"/>
    </row>
    <row r="37" spans="1:9">
      <c r="C37" s="376"/>
    </row>
    <row r="38" spans="1:9">
      <c r="A38" s="262" t="s">
        <v>824</v>
      </c>
      <c r="B38" s="262"/>
      <c r="C38" s="381"/>
    </row>
    <row r="39" spans="1:9">
      <c r="C39" s="376"/>
    </row>
    <row r="40" spans="1:9">
      <c r="A40" s="262" t="s">
        <v>360</v>
      </c>
      <c r="B40" s="262"/>
      <c r="C40" s="262"/>
      <c r="D40" s="262" t="s">
        <v>822</v>
      </c>
      <c r="E40" s="262"/>
      <c r="F40" s="262"/>
      <c r="G40" s="262" t="s">
        <v>826</v>
      </c>
    </row>
    <row r="41" spans="1:9" ht="30">
      <c r="B41" s="380" t="str">
        <f t="shared" ref="B41:B46" si="0">D41</f>
        <v>Pembinaan pemandu wisata</v>
      </c>
      <c r="C41" s="376">
        <v>49400000</v>
      </c>
      <c r="D41" s="380" t="s">
        <v>801</v>
      </c>
      <c r="E41" s="376">
        <v>600000</v>
      </c>
    </row>
    <row r="42" spans="1:9">
      <c r="B42" t="str">
        <f t="shared" si="0"/>
        <v>Fasilitasi promosi</v>
      </c>
      <c r="C42" s="376">
        <v>148180000</v>
      </c>
      <c r="D42" t="s">
        <v>825</v>
      </c>
      <c r="E42" s="376">
        <v>1820000</v>
      </c>
    </row>
    <row r="43" spans="1:9">
      <c r="B43" t="str">
        <f t="shared" si="0"/>
        <v>Pemiloihan duwis</v>
      </c>
      <c r="C43" s="376">
        <v>94900000</v>
      </c>
      <c r="D43" t="s">
        <v>803</v>
      </c>
      <c r="E43" s="376">
        <v>5100000</v>
      </c>
    </row>
    <row r="44" spans="1:9" ht="30">
      <c r="B44" s="377" t="str">
        <f t="shared" si="0"/>
        <v>penyusunan perda RIPKDA</v>
      </c>
      <c r="C44" s="392">
        <v>84875000</v>
      </c>
      <c r="D44" s="377" t="s">
        <v>810</v>
      </c>
      <c r="E44" s="392">
        <v>15125000</v>
      </c>
      <c r="F44" t="s">
        <v>818</v>
      </c>
      <c r="G44" s="377" t="str">
        <f>B44</f>
        <v>penyusunan perda RIPKDA</v>
      </c>
      <c r="H44" s="377"/>
      <c r="I44" s="376">
        <v>0</v>
      </c>
    </row>
    <row r="45" spans="1:9" ht="45">
      <c r="B45" s="401" t="str">
        <f t="shared" si="0"/>
        <v>Penyusunan perda usaha prwsata 13 bidang usaha</v>
      </c>
      <c r="C45" s="403">
        <v>76410000</v>
      </c>
      <c r="D45" s="401" t="s">
        <v>806</v>
      </c>
      <c r="E45" s="403">
        <v>23590000</v>
      </c>
      <c r="F45" s="393"/>
    </row>
    <row r="46" spans="1:9" ht="30">
      <c r="B46" s="402" t="str">
        <f t="shared" si="0"/>
        <v>sertifikasi usaha prwsta</v>
      </c>
      <c r="C46" s="403">
        <v>99505000</v>
      </c>
      <c r="D46" s="401" t="s">
        <v>805</v>
      </c>
      <c r="E46" s="403">
        <v>495000</v>
      </c>
      <c r="G46" s="377" t="str">
        <f>B46</f>
        <v>sertifikasi usaha prwsta</v>
      </c>
      <c r="H46" s="376">
        <v>7775000</v>
      </c>
    </row>
    <row r="47" spans="1:9" ht="53.25" customHeight="1">
      <c r="C47" s="389"/>
      <c r="D47" s="377"/>
      <c r="E47" s="389"/>
      <c r="G47" s="377" t="s">
        <v>832</v>
      </c>
      <c r="H47" s="376">
        <v>5000000000</v>
      </c>
    </row>
    <row r="48" spans="1:9" ht="30">
      <c r="B48" s="405" t="s">
        <v>790</v>
      </c>
      <c r="C48" s="405">
        <v>0</v>
      </c>
      <c r="D48" s="405" t="s">
        <v>790</v>
      </c>
      <c r="E48" s="405">
        <v>0</v>
      </c>
      <c r="F48" s="406"/>
      <c r="G48" s="405" t="s">
        <v>790</v>
      </c>
      <c r="H48" s="407">
        <v>2000000000</v>
      </c>
      <c r="I48" s="376"/>
    </row>
    <row r="49" spans="1:10">
      <c r="B49" s="377"/>
      <c r="C49" s="397">
        <f>SUM(C41:C48)</f>
        <v>553270000</v>
      </c>
      <c r="D49" s="397">
        <f>SUM(D41:D48)</f>
        <v>0</v>
      </c>
      <c r="E49" s="397">
        <f>SUM(E41:E48)</f>
        <v>46730000</v>
      </c>
      <c r="F49" s="397">
        <f>SUM(F41:F48)</f>
        <v>0</v>
      </c>
      <c r="G49" s="397">
        <f>SUM(G41:G48)</f>
        <v>0</v>
      </c>
      <c r="H49" s="397">
        <f>H46+H47+H48</f>
        <v>7007775000</v>
      </c>
      <c r="I49" s="397">
        <f>C49+E49+H49</f>
        <v>7607775000</v>
      </c>
      <c r="J49" t="s">
        <v>814</v>
      </c>
    </row>
    <row r="50" spans="1:10">
      <c r="B50" s="377"/>
      <c r="C50" s="377"/>
      <c r="D50" s="377"/>
      <c r="E50" s="377"/>
      <c r="F50" s="376"/>
      <c r="H50" s="396"/>
      <c r="I50" s="376"/>
    </row>
    <row r="51" spans="1:10">
      <c r="C51" s="376"/>
    </row>
    <row r="52" spans="1:10">
      <c r="C52" s="376"/>
    </row>
    <row r="53" spans="1:10">
      <c r="A53" s="262" t="s">
        <v>827</v>
      </c>
      <c r="B53" s="262"/>
      <c r="C53" s="376"/>
    </row>
    <row r="54" spans="1:10">
      <c r="C54" s="376"/>
    </row>
    <row r="55" spans="1:10">
      <c r="A55" s="262" t="s">
        <v>360</v>
      </c>
      <c r="B55" s="262"/>
      <c r="C55" s="262"/>
      <c r="D55" s="262" t="s">
        <v>822</v>
      </c>
      <c r="E55" s="262"/>
      <c r="F55" s="262"/>
      <c r="G55" s="262" t="s">
        <v>826</v>
      </c>
    </row>
    <row r="56" spans="1:10" ht="26.25">
      <c r="B56" s="400" t="s">
        <v>798</v>
      </c>
      <c r="C56" s="403">
        <v>50000000</v>
      </c>
      <c r="D56" s="400" t="s">
        <v>798</v>
      </c>
      <c r="E56" s="376">
        <v>0</v>
      </c>
      <c r="G56" s="379" t="s">
        <v>798</v>
      </c>
      <c r="H56" s="376">
        <v>0</v>
      </c>
    </row>
    <row r="57" spans="1:10" ht="45">
      <c r="B57" s="401" t="str">
        <f>D57</f>
        <v xml:space="preserve">Pelatihan pengelolaan industri pariwisata </v>
      </c>
      <c r="C57" s="376">
        <v>50000000</v>
      </c>
      <c r="D57" s="377" t="s">
        <v>813</v>
      </c>
      <c r="E57" s="376">
        <v>0</v>
      </c>
    </row>
    <row r="58" spans="1:10" ht="30">
      <c r="B58" s="377" t="str">
        <f>D58</f>
        <v>Pembangunan jalur wsta bukit seroja</v>
      </c>
      <c r="C58" s="376">
        <v>2300000</v>
      </c>
      <c r="D58" s="377" t="s">
        <v>807</v>
      </c>
      <c r="E58" s="376">
        <v>0</v>
      </c>
      <c r="G58" s="377" t="str">
        <f>B58</f>
        <v>Pembangunan jalur wsta bukit seroja</v>
      </c>
      <c r="H58" s="376">
        <v>97700000</v>
      </c>
      <c r="I58" t="s">
        <v>831</v>
      </c>
    </row>
    <row r="59" spans="1:10" ht="30">
      <c r="B59" t="str">
        <f>D59</f>
        <v>pelatihan guide prwsta</v>
      </c>
      <c r="C59" s="376">
        <v>25000000</v>
      </c>
      <c r="D59" s="377" t="s">
        <v>819</v>
      </c>
      <c r="E59" s="376">
        <v>0</v>
      </c>
    </row>
    <row r="60" spans="1:10" ht="30">
      <c r="B60" t="s">
        <v>802</v>
      </c>
      <c r="C60" s="376">
        <v>50000000</v>
      </c>
      <c r="D60" s="377" t="s">
        <v>802</v>
      </c>
      <c r="E60" s="376">
        <v>0</v>
      </c>
    </row>
    <row r="61" spans="1:10" ht="45">
      <c r="B61" s="405" t="s">
        <v>815</v>
      </c>
      <c r="C61" s="406">
        <v>0</v>
      </c>
      <c r="D61" s="405" t="s">
        <v>815</v>
      </c>
      <c r="E61" s="406">
        <v>0</v>
      </c>
      <c r="F61" s="404"/>
      <c r="G61" s="405" t="s">
        <v>815</v>
      </c>
      <c r="H61" s="406">
        <v>200000000</v>
      </c>
      <c r="I61" t="s">
        <v>831</v>
      </c>
    </row>
    <row r="62" spans="1:10" ht="30">
      <c r="B62" s="377" t="s">
        <v>817</v>
      </c>
      <c r="C62" s="376">
        <v>116705000</v>
      </c>
      <c r="D62" s="377" t="s">
        <v>817</v>
      </c>
      <c r="E62" s="376">
        <v>0</v>
      </c>
      <c r="G62" s="377" t="str">
        <f>B62</f>
        <v>pengelolaan obwis dieng</v>
      </c>
      <c r="H62" s="376">
        <v>33295000</v>
      </c>
    </row>
    <row r="63" spans="1:10" ht="45">
      <c r="B63" s="405" t="str">
        <f>D63</f>
        <v>Pengaspalan pintu masuk gerang lmbah dieng</v>
      </c>
      <c r="C63" s="406">
        <v>3300000</v>
      </c>
      <c r="D63" s="405" t="s">
        <v>808</v>
      </c>
      <c r="E63" s="406">
        <v>0</v>
      </c>
      <c r="F63" s="404"/>
      <c r="G63" s="405" t="str">
        <f>B63</f>
        <v>Pengaspalan pintu masuk gerang lmbah dieng</v>
      </c>
      <c r="H63" s="406">
        <v>196700000</v>
      </c>
      <c r="I63" t="s">
        <v>831</v>
      </c>
    </row>
    <row r="64" spans="1:10" ht="30">
      <c r="B64" s="377" t="str">
        <f>D64</f>
        <v>fasilitasi rest area candiyasan</v>
      </c>
      <c r="C64" s="376">
        <v>0</v>
      </c>
      <c r="D64" s="377" t="s">
        <v>809</v>
      </c>
      <c r="E64" s="376">
        <v>200000000</v>
      </c>
      <c r="F64" t="s">
        <v>831</v>
      </c>
      <c r="G64" s="377" t="str">
        <f>B64</f>
        <v>fasilitasi rest area candiyasan</v>
      </c>
      <c r="H64" s="376">
        <v>0</v>
      </c>
    </row>
    <row r="65" spans="1:11" ht="26.25">
      <c r="B65" s="400" t="s">
        <v>797</v>
      </c>
      <c r="C65" s="403">
        <v>197100000</v>
      </c>
      <c r="D65" s="400" t="s">
        <v>797</v>
      </c>
      <c r="E65" s="403">
        <v>2900000</v>
      </c>
      <c r="F65" s="393"/>
      <c r="G65" s="379" t="s">
        <v>797</v>
      </c>
      <c r="H65" s="376">
        <v>0</v>
      </c>
    </row>
    <row r="66" spans="1:11" ht="45">
      <c r="B66" s="377" t="str">
        <f>D66</f>
        <v>Penunjang replika program desa wisata lesatari</v>
      </c>
      <c r="C66" s="398">
        <v>89360000</v>
      </c>
      <c r="D66" s="377" t="s">
        <v>811</v>
      </c>
      <c r="E66" s="398">
        <v>10640000</v>
      </c>
      <c r="G66" s="377" t="str">
        <f>B66</f>
        <v>Penunjang replika program desa wisata lesatari</v>
      </c>
      <c r="H66" s="376">
        <v>0</v>
      </c>
      <c r="I66" t="s">
        <v>831</v>
      </c>
    </row>
    <row r="67" spans="1:11">
      <c r="B67" s="377"/>
      <c r="C67" s="392">
        <f>SUM(C56:C66)</f>
        <v>583765000</v>
      </c>
      <c r="D67" s="392">
        <f>SUM(D56:D66)</f>
        <v>0</v>
      </c>
      <c r="E67" s="392">
        <f>SUM(E56:E66)</f>
        <v>213540000</v>
      </c>
      <c r="F67" s="392">
        <f>SUM(F56:F66)</f>
        <v>0</v>
      </c>
      <c r="G67" s="392">
        <f>SUM(G56:G66)</f>
        <v>0</v>
      </c>
      <c r="H67" s="392">
        <f>SUM(I56:I66)</f>
        <v>0</v>
      </c>
      <c r="J67" s="78">
        <f>C67+E67+H67</f>
        <v>797305000</v>
      </c>
      <c r="K67" t="s">
        <v>830</v>
      </c>
    </row>
    <row r="68" spans="1:11">
      <c r="B68" s="377"/>
      <c r="C68" s="392"/>
      <c r="D68" s="377"/>
      <c r="E68" s="392"/>
      <c r="G68" s="377"/>
      <c r="H68" s="377"/>
      <c r="I68" s="376"/>
    </row>
    <row r="69" spans="1:11">
      <c r="D69" s="394"/>
    </row>
    <row r="70" spans="1:11">
      <c r="D70" s="394"/>
    </row>
    <row r="71" spans="1:11">
      <c r="A71" s="262" t="s">
        <v>828</v>
      </c>
      <c r="B71" s="262"/>
      <c r="C71" s="262"/>
      <c r="D71" s="394"/>
    </row>
    <row r="72" spans="1:11">
      <c r="A72" t="s">
        <v>360</v>
      </c>
      <c r="D72" s="394" t="s">
        <v>822</v>
      </c>
      <c r="G72" t="s">
        <v>826</v>
      </c>
    </row>
    <row r="73" spans="1:11" ht="30">
      <c r="B73" t="str">
        <f>D73</f>
        <v>Pembinaan pokdarwis</v>
      </c>
      <c r="C73" s="376">
        <v>46025000</v>
      </c>
      <c r="D73" s="377" t="s">
        <v>804</v>
      </c>
      <c r="E73" s="376">
        <v>3975000</v>
      </c>
      <c r="G73" s="377" t="s">
        <v>804</v>
      </c>
      <c r="I73">
        <v>0</v>
      </c>
    </row>
    <row r="74" spans="1:11" ht="30">
      <c r="B74" s="377" t="str">
        <f>D74</f>
        <v>Forum komunikasi desa wisata</v>
      </c>
      <c r="C74" s="376">
        <v>45400000</v>
      </c>
      <c r="D74" s="377" t="s">
        <v>800</v>
      </c>
      <c r="E74" s="376">
        <v>4600000</v>
      </c>
      <c r="G74" s="377" t="s">
        <v>800</v>
      </c>
      <c r="I74">
        <v>0</v>
      </c>
    </row>
    <row r="75" spans="1:11">
      <c r="B75" t="s">
        <v>796</v>
      </c>
      <c r="C75" s="376">
        <v>195630000</v>
      </c>
      <c r="D75" t="s">
        <v>796</v>
      </c>
      <c r="E75" s="376">
        <v>4370000</v>
      </c>
      <c r="G75" s="78"/>
    </row>
    <row r="76" spans="1:11">
      <c r="C76" s="381">
        <f>C73+C74+C75</f>
        <v>287055000</v>
      </c>
      <c r="D76" s="376"/>
      <c r="E76" s="381">
        <f>E73+E74+E75</f>
        <v>12945000</v>
      </c>
      <c r="F76" s="376">
        <f>F73+F74+F75</f>
        <v>0</v>
      </c>
      <c r="G76" s="376"/>
      <c r="H76" s="376">
        <f>H73+H74+H75</f>
        <v>0</v>
      </c>
      <c r="I76" s="376">
        <f>I73+I74+I75</f>
        <v>0</v>
      </c>
      <c r="J76" s="263">
        <f>C76+E76</f>
        <v>300000000</v>
      </c>
      <c r="K76" t="s">
        <v>814</v>
      </c>
    </row>
    <row r="77" spans="1:11">
      <c r="C77" s="376"/>
      <c r="E77" s="376"/>
      <c r="G77" s="78"/>
    </row>
    <row r="78" spans="1:11">
      <c r="C78" s="376"/>
      <c r="E78" s="376"/>
      <c r="G78" s="78"/>
    </row>
    <row r="81" spans="1:11">
      <c r="G81" s="78"/>
    </row>
    <row r="82" spans="1:11">
      <c r="A82" s="262" t="s">
        <v>829</v>
      </c>
      <c r="B82" s="262"/>
      <c r="C82" s="262"/>
    </row>
    <row r="83" spans="1:11">
      <c r="A83" t="s">
        <v>360</v>
      </c>
      <c r="D83" s="394" t="s">
        <v>822</v>
      </c>
      <c r="G83" t="s">
        <v>826</v>
      </c>
    </row>
    <row r="84" spans="1:11" ht="30">
      <c r="B84" s="377" t="s">
        <v>792</v>
      </c>
      <c r="C84" s="376">
        <v>100000000</v>
      </c>
      <c r="D84" s="377" t="s">
        <v>792</v>
      </c>
      <c r="E84">
        <v>0</v>
      </c>
      <c r="G84" s="377" t="s">
        <v>792</v>
      </c>
      <c r="I84">
        <v>0</v>
      </c>
    </row>
    <row r="85" spans="1:11">
      <c r="B85" t="s">
        <v>794</v>
      </c>
      <c r="C85" s="376">
        <v>92500000</v>
      </c>
      <c r="D85" t="s">
        <v>795</v>
      </c>
      <c r="E85" s="376">
        <v>7500000</v>
      </c>
      <c r="G85" t="s">
        <v>795</v>
      </c>
      <c r="I85">
        <v>0</v>
      </c>
    </row>
    <row r="86" spans="1:11">
      <c r="C86" s="263">
        <f>C85+C84</f>
        <v>192500000</v>
      </c>
      <c r="D86" s="78"/>
      <c r="E86" s="263">
        <f>E85+E84</f>
        <v>7500000</v>
      </c>
      <c r="F86" s="78">
        <f>F85+F84</f>
        <v>0</v>
      </c>
      <c r="G86" s="78"/>
      <c r="H86" s="78">
        <f>H85+H84</f>
        <v>0</v>
      </c>
      <c r="I86" s="78">
        <f>I85+I84</f>
        <v>0</v>
      </c>
      <c r="J86" s="263">
        <f>E86+C86</f>
        <v>200000000</v>
      </c>
      <c r="K86" t="s">
        <v>814</v>
      </c>
    </row>
    <row r="87" spans="1:11">
      <c r="A87" s="262"/>
      <c r="B87" s="391"/>
      <c r="C87" s="381"/>
      <c r="D87" s="262"/>
      <c r="E87" s="262"/>
      <c r="F87" s="263"/>
    </row>
    <row r="88" spans="1:11">
      <c r="B88" s="377"/>
      <c r="C88" s="376"/>
    </row>
    <row r="89" spans="1:11">
      <c r="B89" s="377"/>
      <c r="C89" s="376"/>
    </row>
    <row r="90" spans="1:11">
      <c r="B90" s="377"/>
      <c r="C90" s="376"/>
    </row>
    <row r="91" spans="1:11">
      <c r="B91" s="377"/>
      <c r="C91" s="376"/>
    </row>
    <row r="92" spans="1:11">
      <c r="B92" s="377"/>
      <c r="C92" s="376"/>
    </row>
    <row r="97" spans="2:10" ht="45" customHeight="1">
      <c r="E97" s="377"/>
      <c r="F97" s="376"/>
    </row>
    <row r="98" spans="2:10">
      <c r="G98" s="78"/>
    </row>
    <row r="99" spans="2:10" ht="46.5" customHeight="1"/>
    <row r="100" spans="2:10">
      <c r="B100" s="377"/>
      <c r="C100" s="381"/>
    </row>
    <row r="101" spans="2:10">
      <c r="B101" s="377"/>
      <c r="C101" s="376"/>
      <c r="D101" s="377"/>
      <c r="E101" s="377"/>
      <c r="F101" s="376"/>
      <c r="J101" s="376"/>
    </row>
    <row r="102" spans="2:10">
      <c r="B102" s="377"/>
      <c r="C102" s="376"/>
      <c r="J102" s="376"/>
    </row>
    <row r="103" spans="2:10">
      <c r="B103" s="377"/>
      <c r="C103" s="376"/>
      <c r="F103" s="381"/>
    </row>
    <row r="104" spans="2:10">
      <c r="B104" s="377"/>
      <c r="C104" s="376"/>
      <c r="F104" s="376"/>
    </row>
    <row r="105" spans="2:10">
      <c r="B105" s="377"/>
      <c r="C105" s="376"/>
      <c r="F105" s="376"/>
    </row>
    <row r="106" spans="2:10">
      <c r="C106" s="376"/>
      <c r="F106" s="376"/>
    </row>
    <row r="107" spans="2:10">
      <c r="C107" s="376"/>
      <c r="F107" s="376"/>
    </row>
    <row r="108" spans="2:10">
      <c r="C108" s="376"/>
      <c r="F108" s="376"/>
    </row>
    <row r="109" spans="2:10">
      <c r="C109" s="376"/>
      <c r="F109" s="376"/>
    </row>
    <row r="110" spans="2:10">
      <c r="F110" s="376"/>
    </row>
    <row r="114" spans="3:3" ht="30" customHeight="1"/>
    <row r="120" spans="3:3">
      <c r="C120" s="381"/>
    </row>
    <row r="121" spans="3:3">
      <c r="C121" s="376"/>
    </row>
    <row r="122" spans="3:3">
      <c r="C122" s="376"/>
    </row>
    <row r="123" spans="3:3">
      <c r="C123" s="376"/>
    </row>
  </sheetData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8"/>
  <sheetViews>
    <sheetView view="pageBreakPreview" zoomScale="90" zoomScaleSheetLayoutView="90" workbookViewId="0">
      <selection activeCell="A48" sqref="A48:N48"/>
    </sheetView>
  </sheetViews>
  <sheetFormatPr defaultRowHeight="15"/>
  <cols>
    <col min="1" max="1" width="6.7109375" customWidth="1"/>
    <col min="2" max="2" width="5.7109375" customWidth="1"/>
    <col min="6" max="6" width="2.7109375" customWidth="1"/>
    <col min="7" max="7" width="8.140625" customWidth="1"/>
    <col min="8" max="8" width="5.5703125" customWidth="1"/>
    <col min="9" max="9" width="6.28515625" customWidth="1"/>
    <col min="10" max="10" width="13.42578125" customWidth="1"/>
    <col min="11" max="11" width="15.28515625" customWidth="1"/>
    <col min="12" max="12" width="15.42578125" customWidth="1"/>
    <col min="13" max="13" width="15.5703125" customWidth="1"/>
    <col min="14" max="14" width="16.42578125" customWidth="1"/>
    <col min="15" max="15" width="16.85546875" customWidth="1"/>
    <col min="17" max="17" width="14.28515625" customWidth="1"/>
  </cols>
  <sheetData>
    <row r="1" spans="1:15">
      <c r="A1" s="1029" t="s">
        <v>0</v>
      </c>
      <c r="B1" s="1030"/>
      <c r="C1" s="1030"/>
      <c r="D1" s="1030"/>
      <c r="E1" s="1030"/>
      <c r="F1" s="1030"/>
      <c r="G1" s="1030"/>
      <c r="H1" s="1030"/>
      <c r="I1" s="1031" t="s">
        <v>1</v>
      </c>
      <c r="J1" s="1032"/>
      <c r="K1" s="1032"/>
      <c r="L1" s="1032"/>
      <c r="M1" s="1032"/>
      <c r="N1" s="1033"/>
    </row>
    <row r="2" spans="1:15">
      <c r="A2" s="1034" t="s">
        <v>47</v>
      </c>
      <c r="B2" s="1035"/>
      <c r="C2" s="1035"/>
      <c r="D2" s="1035"/>
      <c r="E2" s="1035"/>
      <c r="F2" s="1035"/>
      <c r="G2" s="1035"/>
      <c r="H2" s="1035"/>
      <c r="I2" s="1036" t="s">
        <v>48</v>
      </c>
      <c r="J2" s="1037"/>
      <c r="K2" s="1037"/>
      <c r="L2" s="1037"/>
      <c r="M2" s="1037"/>
      <c r="N2" s="1038"/>
    </row>
    <row r="3" spans="1:15">
      <c r="A3" s="1039" t="s">
        <v>4</v>
      </c>
      <c r="B3" s="1040"/>
      <c r="C3" s="1040"/>
      <c r="D3" s="1040"/>
      <c r="E3" s="1040"/>
      <c r="F3" s="1040"/>
      <c r="G3" s="1040"/>
      <c r="H3" s="1041"/>
      <c r="I3" s="1036" t="s">
        <v>49</v>
      </c>
      <c r="J3" s="1037"/>
      <c r="K3" s="1037"/>
      <c r="L3" s="1037"/>
      <c r="M3" s="1037"/>
      <c r="N3" s="1038"/>
    </row>
    <row r="4" spans="1:15">
      <c r="A4" s="1042" t="s">
        <v>527</v>
      </c>
      <c r="B4" s="1043"/>
      <c r="C4" s="1043"/>
      <c r="D4" s="1043"/>
      <c r="E4" s="1043"/>
      <c r="F4" s="1043"/>
      <c r="G4" s="1043"/>
      <c r="H4" s="1044"/>
      <c r="I4" s="161"/>
      <c r="J4" s="154"/>
      <c r="K4" s="154"/>
      <c r="L4" s="154"/>
      <c r="M4" s="154"/>
      <c r="N4" s="217"/>
    </row>
    <row r="5" spans="1:15">
      <c r="A5" s="150" t="s">
        <v>5</v>
      </c>
      <c r="B5" s="151"/>
      <c r="C5" s="151"/>
      <c r="D5" s="151"/>
      <c r="E5" s="151" t="s">
        <v>6</v>
      </c>
      <c r="F5" s="151" t="s">
        <v>559</v>
      </c>
      <c r="G5" s="151"/>
      <c r="H5" s="151" t="s">
        <v>8</v>
      </c>
      <c r="I5" s="151"/>
      <c r="J5" s="151"/>
      <c r="K5" s="151"/>
      <c r="L5" s="151"/>
      <c r="M5" s="151"/>
      <c r="N5" s="152"/>
    </row>
    <row r="6" spans="1:15">
      <c r="A6" s="150" t="s">
        <v>9</v>
      </c>
      <c r="B6" s="151"/>
      <c r="C6" s="151"/>
      <c r="D6" s="151"/>
      <c r="E6" s="151" t="s">
        <v>6</v>
      </c>
      <c r="F6" s="151" t="s">
        <v>652</v>
      </c>
      <c r="G6" s="151"/>
      <c r="H6" s="151" t="s">
        <v>11</v>
      </c>
      <c r="I6" s="151"/>
      <c r="J6" s="151"/>
      <c r="K6" s="151"/>
      <c r="L6" s="151"/>
      <c r="M6" s="151"/>
      <c r="N6" s="152"/>
    </row>
    <row r="7" spans="1:15">
      <c r="A7" s="1045" t="s">
        <v>50</v>
      </c>
      <c r="B7" s="1046"/>
      <c r="C7" s="1046"/>
      <c r="D7" s="1046"/>
      <c r="E7" s="1046"/>
      <c r="F7" s="1046"/>
      <c r="G7" s="1046"/>
      <c r="H7" s="1046"/>
      <c r="I7" s="1046"/>
      <c r="J7" s="1046"/>
      <c r="K7" s="1046"/>
      <c r="L7" s="1046"/>
      <c r="M7" s="1046"/>
      <c r="N7" s="1047"/>
    </row>
    <row r="8" spans="1:15">
      <c r="A8" s="1048" t="s">
        <v>51</v>
      </c>
      <c r="B8" s="1049"/>
      <c r="C8" s="1049"/>
      <c r="D8" s="1049"/>
      <c r="E8" s="1049"/>
      <c r="F8" s="1049"/>
      <c r="G8" s="1049"/>
      <c r="H8" s="1049"/>
      <c r="I8" s="1049"/>
      <c r="J8" s="1049"/>
      <c r="K8" s="1049"/>
      <c r="L8" s="1049"/>
      <c r="M8" s="1049"/>
      <c r="N8" s="1050"/>
    </row>
    <row r="9" spans="1:15">
      <c r="A9" s="1051" t="s">
        <v>52</v>
      </c>
      <c r="B9" s="1052"/>
      <c r="C9" s="1053" t="s">
        <v>14</v>
      </c>
      <c r="D9" s="1040"/>
      <c r="E9" s="1040"/>
      <c r="F9" s="1041"/>
      <c r="G9" s="163" t="s">
        <v>53</v>
      </c>
      <c r="H9" s="163" t="s">
        <v>54</v>
      </c>
      <c r="I9" s="163" t="s">
        <v>55</v>
      </c>
      <c r="J9" s="1054" t="s">
        <v>56</v>
      </c>
      <c r="K9" s="1055"/>
      <c r="L9" s="1055"/>
      <c r="M9" s="1052"/>
      <c r="N9" s="218" t="s">
        <v>15</v>
      </c>
    </row>
    <row r="10" spans="1:15">
      <c r="A10" s="219" t="s">
        <v>57</v>
      </c>
      <c r="B10" s="163" t="s">
        <v>58</v>
      </c>
      <c r="C10" s="155"/>
      <c r="D10" s="151"/>
      <c r="E10" s="151"/>
      <c r="F10" s="156"/>
      <c r="G10" s="165"/>
      <c r="H10" s="166" t="s">
        <v>59</v>
      </c>
      <c r="I10" s="166" t="s">
        <v>60</v>
      </c>
      <c r="J10" s="300" t="s">
        <v>32</v>
      </c>
      <c r="K10" s="303" t="s">
        <v>33</v>
      </c>
      <c r="L10" s="300" t="s">
        <v>34</v>
      </c>
      <c r="M10" s="300" t="s">
        <v>35</v>
      </c>
      <c r="N10" s="220" t="s">
        <v>61</v>
      </c>
    </row>
    <row r="11" spans="1:15">
      <c r="A11" s="221"/>
      <c r="B11" s="167"/>
      <c r="C11" s="161"/>
      <c r="D11" s="154"/>
      <c r="E11" s="154"/>
      <c r="F11" s="162"/>
      <c r="G11" s="167"/>
      <c r="H11" s="167" t="s">
        <v>62</v>
      </c>
      <c r="I11" s="167"/>
      <c r="J11" s="161"/>
      <c r="K11" s="161"/>
      <c r="L11" s="161"/>
      <c r="M11" s="161"/>
      <c r="N11" s="222"/>
    </row>
    <row r="12" spans="1:15">
      <c r="A12" s="223">
        <v>1</v>
      </c>
      <c r="B12" s="304">
        <v>2</v>
      </c>
      <c r="C12" s="1054">
        <v>3</v>
      </c>
      <c r="D12" s="1055"/>
      <c r="E12" s="1055"/>
      <c r="F12" s="1052"/>
      <c r="G12" s="168">
        <v>4</v>
      </c>
      <c r="H12" s="304">
        <v>5</v>
      </c>
      <c r="I12" s="168">
        <v>6</v>
      </c>
      <c r="J12" s="304">
        <v>7</v>
      </c>
      <c r="K12" s="168">
        <v>8</v>
      </c>
      <c r="L12" s="304">
        <v>9</v>
      </c>
      <c r="M12" s="168">
        <v>10</v>
      </c>
      <c r="N12" s="224">
        <v>11</v>
      </c>
    </row>
    <row r="13" spans="1:15" ht="12.75" customHeight="1">
      <c r="A13" s="150"/>
      <c r="B13" s="164"/>
      <c r="C13" s="151"/>
      <c r="D13" s="151"/>
      <c r="E13" s="151"/>
      <c r="F13" s="151"/>
      <c r="G13" s="164"/>
      <c r="H13" s="151"/>
      <c r="I13" s="164"/>
      <c r="J13" s="151"/>
      <c r="K13" s="165"/>
      <c r="L13" s="151"/>
      <c r="M13" s="165"/>
      <c r="N13" s="152"/>
    </row>
    <row r="14" spans="1:15" ht="24.75" customHeight="1">
      <c r="A14" s="225" t="s">
        <v>63</v>
      </c>
      <c r="B14" s="171"/>
      <c r="C14" s="1057" t="s">
        <v>64</v>
      </c>
      <c r="D14" s="1057"/>
      <c r="E14" s="1057"/>
      <c r="F14" s="1057"/>
      <c r="G14" s="171"/>
      <c r="H14" s="168"/>
      <c r="I14" s="168"/>
      <c r="J14" s="176">
        <f>SUM(J15:J27)</f>
        <v>90093000</v>
      </c>
      <c r="K14" s="176">
        <f>SUM(K15:K27)</f>
        <v>92564000</v>
      </c>
      <c r="L14" s="176">
        <f>SUM(L15:L27)</f>
        <v>72429350</v>
      </c>
      <c r="M14" s="176">
        <f>SUM(M15:M27)</f>
        <v>60228650</v>
      </c>
      <c r="N14" s="226">
        <f>J14+K14+L14+M14</f>
        <v>315315000</v>
      </c>
      <c r="O14" s="78"/>
    </row>
    <row r="15" spans="1:15">
      <c r="A15" s="180"/>
      <c r="B15" s="170" t="s">
        <v>65</v>
      </c>
      <c r="C15" s="1058" t="s">
        <v>66</v>
      </c>
      <c r="D15" s="1059"/>
      <c r="E15" s="1059"/>
      <c r="F15" s="1060"/>
      <c r="G15" s="171" t="s">
        <v>67</v>
      </c>
      <c r="H15" s="172">
        <v>1</v>
      </c>
      <c r="I15" s="168" t="s">
        <v>68</v>
      </c>
      <c r="J15" s="177">
        <v>363000</v>
      </c>
      <c r="K15" s="177">
        <v>324000</v>
      </c>
      <c r="L15" s="177">
        <v>276000</v>
      </c>
      <c r="M15" s="177">
        <v>219000</v>
      </c>
      <c r="N15" s="181">
        <f>J15+K15+L15+M15</f>
        <v>1182000</v>
      </c>
      <c r="O15" s="78"/>
    </row>
    <row r="16" spans="1:15" ht="21.75" customHeight="1">
      <c r="A16" s="180"/>
      <c r="B16" s="173" t="s">
        <v>69</v>
      </c>
      <c r="C16" s="1061" t="s">
        <v>445</v>
      </c>
      <c r="D16" s="1061"/>
      <c r="E16" s="1061"/>
      <c r="F16" s="1061"/>
      <c r="G16" s="171" t="s">
        <v>67</v>
      </c>
      <c r="H16" s="172">
        <v>1</v>
      </c>
      <c r="I16" s="168" t="s">
        <v>68</v>
      </c>
      <c r="J16" s="177">
        <v>12000000</v>
      </c>
      <c r="K16" s="177">
        <v>12000000</v>
      </c>
      <c r="L16" s="177">
        <v>9175000</v>
      </c>
      <c r="M16" s="177">
        <v>9175000</v>
      </c>
      <c r="N16" s="181">
        <f t="shared" ref="N16:N27" si="0">J16+K16+L16+M16</f>
        <v>42350000</v>
      </c>
      <c r="O16" s="78"/>
    </row>
    <row r="17" spans="1:17" ht="15" customHeight="1">
      <c r="A17" s="180"/>
      <c r="B17" s="173" t="s">
        <v>70</v>
      </c>
      <c r="C17" s="1056" t="s">
        <v>71</v>
      </c>
      <c r="D17" s="1056"/>
      <c r="E17" s="1056"/>
      <c r="F17" s="1056"/>
      <c r="G17" s="171" t="s">
        <v>67</v>
      </c>
      <c r="H17" s="172">
        <v>1</v>
      </c>
      <c r="I17" s="168" t="s">
        <v>68</v>
      </c>
      <c r="J17" s="177">
        <v>11775000</v>
      </c>
      <c r="K17" s="177">
        <v>11775000</v>
      </c>
      <c r="L17" s="177">
        <v>11775000</v>
      </c>
      <c r="M17" s="177">
        <v>4675000</v>
      </c>
      <c r="N17" s="181">
        <f t="shared" si="0"/>
        <v>40000000</v>
      </c>
      <c r="O17" s="78"/>
    </row>
    <row r="18" spans="1:17">
      <c r="A18" s="180"/>
      <c r="B18" s="170" t="s">
        <v>72</v>
      </c>
      <c r="C18" s="1062" t="s">
        <v>73</v>
      </c>
      <c r="D18" s="1063"/>
      <c r="E18" s="1063"/>
      <c r="F18" s="1064"/>
      <c r="G18" s="171" t="s">
        <v>67</v>
      </c>
      <c r="H18" s="172">
        <v>1</v>
      </c>
      <c r="I18" s="168" t="s">
        <v>68</v>
      </c>
      <c r="J18" s="177">
        <v>4200000</v>
      </c>
      <c r="K18" s="177">
        <v>4000000</v>
      </c>
      <c r="L18" s="177">
        <v>3300000</v>
      </c>
      <c r="M18" s="177">
        <v>3256300</v>
      </c>
      <c r="N18" s="181">
        <f t="shared" si="0"/>
        <v>14756300</v>
      </c>
      <c r="O18" s="78"/>
    </row>
    <row r="19" spans="1:17" ht="15" customHeight="1">
      <c r="A19" s="180"/>
      <c r="B19" s="173" t="s">
        <v>74</v>
      </c>
      <c r="C19" s="1056" t="s">
        <v>75</v>
      </c>
      <c r="D19" s="1056"/>
      <c r="E19" s="1056"/>
      <c r="F19" s="1056"/>
      <c r="G19" s="171" t="s">
        <v>67</v>
      </c>
      <c r="H19" s="174">
        <v>1</v>
      </c>
      <c r="I19" s="175" t="s">
        <v>68</v>
      </c>
      <c r="J19" s="178">
        <v>4000000</v>
      </c>
      <c r="K19" s="178">
        <v>3500000</v>
      </c>
      <c r="L19" s="178">
        <v>3759850</v>
      </c>
      <c r="M19" s="178">
        <v>3759850</v>
      </c>
      <c r="N19" s="181">
        <f t="shared" si="0"/>
        <v>15019700</v>
      </c>
      <c r="O19" s="78"/>
    </row>
    <row r="20" spans="1:17" ht="15" customHeight="1">
      <c r="A20" s="180"/>
      <c r="B20" s="173" t="s">
        <v>76</v>
      </c>
      <c r="C20" s="1061" t="s">
        <v>77</v>
      </c>
      <c r="D20" s="1061"/>
      <c r="E20" s="1061"/>
      <c r="F20" s="1061"/>
      <c r="G20" s="171" t="s">
        <v>67</v>
      </c>
      <c r="H20" s="172">
        <v>1</v>
      </c>
      <c r="I20" s="168" t="s">
        <v>68</v>
      </c>
      <c r="J20" s="177">
        <v>1000000</v>
      </c>
      <c r="K20" s="177">
        <v>1000000</v>
      </c>
      <c r="L20" s="177">
        <v>668500</v>
      </c>
      <c r="M20" s="177">
        <v>668500</v>
      </c>
      <c r="N20" s="181">
        <f>J20+K20+L20+M20</f>
        <v>3337000</v>
      </c>
      <c r="O20" s="78"/>
      <c r="Q20">
        <f>1337000/2</f>
        <v>668500</v>
      </c>
    </row>
    <row r="21" spans="1:17" ht="25.5" customHeight="1">
      <c r="A21" s="180"/>
      <c r="B21" s="173" t="s">
        <v>78</v>
      </c>
      <c r="C21" s="1056" t="s">
        <v>79</v>
      </c>
      <c r="D21" s="1056"/>
      <c r="E21" s="1056"/>
      <c r="F21" s="1056"/>
      <c r="G21" s="171" t="s">
        <v>67</v>
      </c>
      <c r="H21" s="172">
        <v>1</v>
      </c>
      <c r="I21" s="168" t="s">
        <v>68</v>
      </c>
      <c r="J21" s="177">
        <v>3000000</v>
      </c>
      <c r="K21" s="177">
        <v>3000000</v>
      </c>
      <c r="L21" s="177">
        <v>2360000</v>
      </c>
      <c r="M21" s="177">
        <v>2360000</v>
      </c>
      <c r="N21" s="181">
        <f t="shared" si="0"/>
        <v>10720000</v>
      </c>
      <c r="O21" s="78"/>
    </row>
    <row r="22" spans="1:17" ht="21.75" customHeight="1">
      <c r="A22" s="180"/>
      <c r="B22" s="173" t="s">
        <v>80</v>
      </c>
      <c r="C22" s="1061" t="s">
        <v>81</v>
      </c>
      <c r="D22" s="1061"/>
      <c r="E22" s="1061"/>
      <c r="F22" s="1061"/>
      <c r="G22" s="171" t="s">
        <v>67</v>
      </c>
      <c r="H22" s="174">
        <v>1</v>
      </c>
      <c r="I22" s="175" t="s">
        <v>68</v>
      </c>
      <c r="J22" s="178">
        <v>945000</v>
      </c>
      <c r="K22" s="178">
        <v>945000</v>
      </c>
      <c r="L22" s="178">
        <v>945000</v>
      </c>
      <c r="M22" s="178">
        <v>945000</v>
      </c>
      <c r="N22" s="181">
        <f t="shared" si="0"/>
        <v>3780000</v>
      </c>
      <c r="O22" s="78"/>
    </row>
    <row r="23" spans="1:17">
      <c r="A23" s="180"/>
      <c r="B23" s="170" t="s">
        <v>82</v>
      </c>
      <c r="C23" s="1058" t="s">
        <v>83</v>
      </c>
      <c r="D23" s="1059"/>
      <c r="E23" s="1059"/>
      <c r="F23" s="1060"/>
      <c r="G23" s="171" t="s">
        <v>67</v>
      </c>
      <c r="H23" s="172">
        <v>1</v>
      </c>
      <c r="I23" s="168" t="s">
        <v>68</v>
      </c>
      <c r="J23" s="177">
        <v>3000000</v>
      </c>
      <c r="K23" s="177">
        <v>3000000</v>
      </c>
      <c r="L23" s="177">
        <v>2500000</v>
      </c>
      <c r="M23" s="177">
        <v>2500000</v>
      </c>
      <c r="N23" s="181">
        <f t="shared" si="0"/>
        <v>11000000</v>
      </c>
      <c r="O23" s="78"/>
    </row>
    <row r="24" spans="1:17" ht="21" customHeight="1">
      <c r="A24" s="180"/>
      <c r="B24" s="173" t="s">
        <v>84</v>
      </c>
      <c r="C24" s="1056" t="s">
        <v>85</v>
      </c>
      <c r="D24" s="1056"/>
      <c r="E24" s="1056"/>
      <c r="F24" s="1056"/>
      <c r="G24" s="171" t="s">
        <v>67</v>
      </c>
      <c r="H24" s="172">
        <v>1</v>
      </c>
      <c r="I24" s="168" t="s">
        <v>68</v>
      </c>
      <c r="J24" s="177">
        <v>40000000</v>
      </c>
      <c r="K24" s="177">
        <v>40000000</v>
      </c>
      <c r="L24" s="177">
        <v>25000000</v>
      </c>
      <c r="M24" s="177">
        <v>20000000</v>
      </c>
      <c r="N24" s="181">
        <f t="shared" si="0"/>
        <v>125000000</v>
      </c>
      <c r="O24" s="78"/>
    </row>
    <row r="25" spans="1:17" ht="21" customHeight="1">
      <c r="A25" s="180"/>
      <c r="B25" s="173" t="s">
        <v>86</v>
      </c>
      <c r="C25" s="1056" t="s">
        <v>87</v>
      </c>
      <c r="D25" s="1056"/>
      <c r="E25" s="1056"/>
      <c r="F25" s="1056"/>
      <c r="G25" s="171" t="s">
        <v>67</v>
      </c>
      <c r="H25" s="172">
        <v>1</v>
      </c>
      <c r="I25" s="168" t="s">
        <v>68</v>
      </c>
      <c r="J25" s="177">
        <v>3000000</v>
      </c>
      <c r="K25" s="177">
        <v>3000000</v>
      </c>
      <c r="L25" s="177">
        <v>2650000</v>
      </c>
      <c r="M25" s="177">
        <v>2650000</v>
      </c>
      <c r="N25" s="181">
        <f t="shared" si="0"/>
        <v>11300000</v>
      </c>
      <c r="O25" s="78"/>
    </row>
    <row r="26" spans="1:17" ht="15" customHeight="1">
      <c r="A26" s="180"/>
      <c r="B26" s="173" t="s">
        <v>88</v>
      </c>
      <c r="C26" s="1056" t="s">
        <v>89</v>
      </c>
      <c r="D26" s="1056"/>
      <c r="E26" s="1056"/>
      <c r="F26" s="1056"/>
      <c r="G26" s="171" t="s">
        <v>67</v>
      </c>
      <c r="H26" s="174">
        <v>1</v>
      </c>
      <c r="I26" s="175" t="s">
        <v>68</v>
      </c>
      <c r="J26" s="178">
        <v>6810000</v>
      </c>
      <c r="K26" s="178">
        <v>6810000</v>
      </c>
      <c r="L26" s="178">
        <v>6810000</v>
      </c>
      <c r="M26" s="178">
        <v>6810000</v>
      </c>
      <c r="N26" s="181">
        <f t="shared" si="0"/>
        <v>27240000</v>
      </c>
      <c r="O26" s="78"/>
    </row>
    <row r="27" spans="1:17" ht="23.25" customHeight="1">
      <c r="A27" s="180"/>
      <c r="B27" s="173" t="s">
        <v>90</v>
      </c>
      <c r="C27" s="1068" t="s">
        <v>91</v>
      </c>
      <c r="D27" s="1069"/>
      <c r="E27" s="1069"/>
      <c r="F27" s="1070"/>
      <c r="G27" s="171" t="s">
        <v>67</v>
      </c>
      <c r="H27" s="172">
        <v>1</v>
      </c>
      <c r="I27" s="168" t="s">
        <v>68</v>
      </c>
      <c r="J27" s="177">
        <v>0</v>
      </c>
      <c r="K27" s="177">
        <v>3210000</v>
      </c>
      <c r="L27" s="177">
        <f>K27</f>
        <v>3210000</v>
      </c>
      <c r="M27" s="177">
        <f>L27</f>
        <v>3210000</v>
      </c>
      <c r="N27" s="181">
        <f t="shared" si="0"/>
        <v>9630000</v>
      </c>
      <c r="O27" s="78"/>
    </row>
    <row r="28" spans="1:17" ht="26.25" customHeight="1">
      <c r="A28" s="225" t="s">
        <v>92</v>
      </c>
      <c r="B28" s="171"/>
      <c r="C28" s="1057" t="s">
        <v>93</v>
      </c>
      <c r="D28" s="1057"/>
      <c r="E28" s="1057"/>
      <c r="F28" s="1057"/>
      <c r="G28" s="171"/>
      <c r="H28" s="168"/>
      <c r="I28" s="168"/>
      <c r="J28" s="176">
        <f>J29+J30+J31+J32</f>
        <v>37955000</v>
      </c>
      <c r="K28" s="176">
        <f>K29+K30+K31+K32</f>
        <v>32455000</v>
      </c>
      <c r="L28" s="176">
        <f>L29+L30+L31+L32</f>
        <v>34692500</v>
      </c>
      <c r="M28" s="176">
        <f>M29+M30+M31+M32</f>
        <v>34192500</v>
      </c>
      <c r="N28" s="226">
        <f>N29+N30+N31+N32</f>
        <v>139295000</v>
      </c>
      <c r="O28" s="78"/>
    </row>
    <row r="29" spans="1:17" ht="15" customHeight="1">
      <c r="A29" s="180"/>
      <c r="B29" s="173" t="s">
        <v>94</v>
      </c>
      <c r="C29" s="1056" t="s">
        <v>95</v>
      </c>
      <c r="D29" s="1056"/>
      <c r="E29" s="1056"/>
      <c r="F29" s="1056"/>
      <c r="G29" s="171" t="s">
        <v>67</v>
      </c>
      <c r="H29" s="174">
        <v>1</v>
      </c>
      <c r="I29" s="175" t="s">
        <v>68</v>
      </c>
      <c r="J29" s="178">
        <v>19955000</v>
      </c>
      <c r="K29" s="178">
        <v>19955000</v>
      </c>
      <c r="L29" s="178">
        <f>K29</f>
        <v>19955000</v>
      </c>
      <c r="M29" s="178">
        <f>L29</f>
        <v>19955000</v>
      </c>
      <c r="N29" s="227">
        <f>J29+K29+L29+M29</f>
        <v>79820000</v>
      </c>
      <c r="O29" s="78"/>
    </row>
    <row r="30" spans="1:17" ht="21.75" customHeight="1">
      <c r="A30" s="180"/>
      <c r="B30" s="173" t="s">
        <v>96</v>
      </c>
      <c r="C30" s="1061" t="s">
        <v>97</v>
      </c>
      <c r="D30" s="1061"/>
      <c r="E30" s="1061"/>
      <c r="F30" s="1061"/>
      <c r="G30" s="171" t="s">
        <v>67</v>
      </c>
      <c r="H30" s="174">
        <v>1</v>
      </c>
      <c r="I30" s="175" t="s">
        <v>68</v>
      </c>
      <c r="J30" s="178">
        <v>15000000</v>
      </c>
      <c r="K30" s="178">
        <v>10000000</v>
      </c>
      <c r="L30" s="178">
        <v>12475000</v>
      </c>
      <c r="M30" s="178">
        <v>12475000</v>
      </c>
      <c r="N30" s="227">
        <f>J30+K30+L30+M30</f>
        <v>49950000</v>
      </c>
      <c r="O30" s="78"/>
    </row>
    <row r="31" spans="1:17" ht="15" customHeight="1">
      <c r="A31" s="180"/>
      <c r="B31" s="173" t="s">
        <v>98</v>
      </c>
      <c r="C31" s="1056" t="s">
        <v>99</v>
      </c>
      <c r="D31" s="1056"/>
      <c r="E31" s="1056"/>
      <c r="F31" s="1056"/>
      <c r="G31" s="171" t="s">
        <v>67</v>
      </c>
      <c r="H31" s="174">
        <v>1</v>
      </c>
      <c r="I31" s="175" t="s">
        <v>68</v>
      </c>
      <c r="J31" s="178">
        <v>2000000</v>
      </c>
      <c r="K31" s="178">
        <v>1500000</v>
      </c>
      <c r="L31" s="178">
        <v>1762500</v>
      </c>
      <c r="M31" s="178">
        <v>1762500</v>
      </c>
      <c r="N31" s="227">
        <f>J31+K31+L31+M31</f>
        <v>7025000</v>
      </c>
      <c r="O31" s="78"/>
    </row>
    <row r="32" spans="1:17" ht="24.75" customHeight="1">
      <c r="A32" s="180"/>
      <c r="B32" s="173" t="s">
        <v>100</v>
      </c>
      <c r="C32" s="1056" t="s">
        <v>101</v>
      </c>
      <c r="D32" s="1056"/>
      <c r="E32" s="1056"/>
      <c r="F32" s="1056"/>
      <c r="G32" s="171" t="s">
        <v>67</v>
      </c>
      <c r="H32" s="174">
        <v>1</v>
      </c>
      <c r="I32" s="175" t="s">
        <v>68</v>
      </c>
      <c r="J32" s="178">
        <v>1000000</v>
      </c>
      <c r="K32" s="178">
        <v>1000000</v>
      </c>
      <c r="L32" s="178">
        <v>500000</v>
      </c>
      <c r="M32" s="178">
        <v>0</v>
      </c>
      <c r="N32" s="227">
        <f>J32+K32+L32+M32</f>
        <v>2500000</v>
      </c>
      <c r="O32" s="78"/>
    </row>
    <row r="33" spans="1:15" ht="24.75" customHeight="1">
      <c r="A33" s="408" t="s">
        <v>842</v>
      </c>
      <c r="B33" s="342"/>
      <c r="C33" s="1071" t="s">
        <v>102</v>
      </c>
      <c r="D33" s="1072"/>
      <c r="E33" s="1072"/>
      <c r="F33" s="1073"/>
      <c r="G33" s="171"/>
      <c r="H33" s="174"/>
      <c r="I33" s="175"/>
      <c r="J33" s="368">
        <f>SUM(J34:J40)</f>
        <v>260000000</v>
      </c>
      <c r="K33" s="368">
        <f>SUM(K34:K40)</f>
        <v>2995000000</v>
      </c>
      <c r="L33" s="368">
        <f>SUM(L34:L40)</f>
        <v>3920000000</v>
      </c>
      <c r="M33" s="368">
        <f>SUM(M34:M40)</f>
        <v>375000000</v>
      </c>
      <c r="N33" s="368">
        <f>SUM(N34:N40)</f>
        <v>7550000000</v>
      </c>
      <c r="O33" s="78"/>
    </row>
    <row r="34" spans="1:15" ht="24.75" customHeight="1">
      <c r="A34" s="221"/>
      <c r="B34" s="342" t="s">
        <v>755</v>
      </c>
      <c r="C34" s="1065" t="s">
        <v>515</v>
      </c>
      <c r="D34" s="1066"/>
      <c r="E34" s="1066"/>
      <c r="F34" s="1067"/>
      <c r="G34" s="171" t="s">
        <v>67</v>
      </c>
      <c r="H34" s="174">
        <v>1</v>
      </c>
      <c r="I34" s="175" t="s">
        <v>68</v>
      </c>
      <c r="J34" s="343">
        <v>125000000</v>
      </c>
      <c r="K34" s="343">
        <v>25000000</v>
      </c>
      <c r="L34" s="343">
        <v>0</v>
      </c>
      <c r="M34" s="343">
        <v>0</v>
      </c>
      <c r="N34" s="344">
        <f t="shared" ref="N34:N40" si="1">SUM(J34:M34)</f>
        <v>150000000</v>
      </c>
      <c r="O34" s="78"/>
    </row>
    <row r="35" spans="1:15" ht="24.75" customHeight="1">
      <c r="A35" s="221"/>
      <c r="B35" s="342" t="s">
        <v>756</v>
      </c>
      <c r="C35" s="1074" t="s">
        <v>758</v>
      </c>
      <c r="D35" s="1075"/>
      <c r="E35" s="1075"/>
      <c r="F35" s="1076"/>
      <c r="G35" s="171" t="s">
        <v>67</v>
      </c>
      <c r="H35" s="174">
        <v>1</v>
      </c>
      <c r="I35" s="175" t="s">
        <v>68</v>
      </c>
      <c r="J35" s="343">
        <v>50000000</v>
      </c>
      <c r="K35" s="343">
        <v>50000000</v>
      </c>
      <c r="L35" s="343">
        <v>0</v>
      </c>
      <c r="M35" s="343">
        <v>0</v>
      </c>
      <c r="N35" s="344">
        <f t="shared" si="1"/>
        <v>100000000</v>
      </c>
      <c r="O35" s="78"/>
    </row>
    <row r="36" spans="1:15" ht="24.75" customHeight="1">
      <c r="A36" s="221"/>
      <c r="B36" s="342" t="s">
        <v>757</v>
      </c>
      <c r="C36" s="1065" t="s">
        <v>655</v>
      </c>
      <c r="D36" s="1066"/>
      <c r="E36" s="1066"/>
      <c r="F36" s="1067"/>
      <c r="G36" s="171" t="s">
        <v>67</v>
      </c>
      <c r="H36" s="174">
        <v>1</v>
      </c>
      <c r="I36" s="175" t="s">
        <v>68</v>
      </c>
      <c r="J36" s="343">
        <v>40000000</v>
      </c>
      <c r="K36" s="343">
        <v>55000000</v>
      </c>
      <c r="L36" s="343">
        <v>5000000</v>
      </c>
      <c r="M36" s="343">
        <v>0</v>
      </c>
      <c r="N36" s="344">
        <f t="shared" si="1"/>
        <v>100000000</v>
      </c>
      <c r="O36" s="78"/>
    </row>
    <row r="37" spans="1:15" ht="24.75" customHeight="1">
      <c r="A37" s="221"/>
      <c r="B37" s="342" t="s">
        <v>760</v>
      </c>
      <c r="C37" s="1065" t="s">
        <v>759</v>
      </c>
      <c r="D37" s="1066"/>
      <c r="E37" s="1066"/>
      <c r="F37" s="1067"/>
      <c r="G37" s="171" t="s">
        <v>67</v>
      </c>
      <c r="H37" s="174">
        <v>1</v>
      </c>
      <c r="I37" s="175" t="s">
        <v>68</v>
      </c>
      <c r="J37" s="343">
        <v>25000000</v>
      </c>
      <c r="K37" s="343">
        <v>25000000</v>
      </c>
      <c r="L37" s="343">
        <v>25000000</v>
      </c>
      <c r="M37" s="343">
        <v>25000000</v>
      </c>
      <c r="N37" s="344">
        <f t="shared" si="1"/>
        <v>100000000</v>
      </c>
      <c r="O37" s="78"/>
    </row>
    <row r="38" spans="1:15" ht="24.75" customHeight="1">
      <c r="A38" s="221"/>
      <c r="B38" s="342" t="s">
        <v>761</v>
      </c>
      <c r="C38" s="1065" t="s">
        <v>763</v>
      </c>
      <c r="D38" s="1066"/>
      <c r="E38" s="1066"/>
      <c r="F38" s="1067"/>
      <c r="G38" s="171" t="s">
        <v>67</v>
      </c>
      <c r="H38" s="174">
        <v>1</v>
      </c>
      <c r="I38" s="175" t="s">
        <v>68</v>
      </c>
      <c r="J38" s="343">
        <v>20000000</v>
      </c>
      <c r="K38" s="343">
        <v>40000000</v>
      </c>
      <c r="L38" s="343">
        <f>K38</f>
        <v>40000000</v>
      </c>
      <c r="M38" s="343">
        <v>0</v>
      </c>
      <c r="N38" s="344">
        <f t="shared" si="1"/>
        <v>100000000</v>
      </c>
      <c r="O38" s="78"/>
    </row>
    <row r="39" spans="1:15" ht="24.75" customHeight="1">
      <c r="A39" s="221"/>
      <c r="B39" s="342" t="s">
        <v>762</v>
      </c>
      <c r="C39" s="1065" t="s">
        <v>764</v>
      </c>
      <c r="D39" s="1066"/>
      <c r="E39" s="1066"/>
      <c r="F39" s="1067"/>
      <c r="G39" s="171" t="s">
        <v>67</v>
      </c>
      <c r="H39" s="174">
        <v>1</v>
      </c>
      <c r="I39" s="175" t="s">
        <v>68</v>
      </c>
      <c r="J39" s="343">
        <v>0</v>
      </c>
      <c r="K39" s="343">
        <v>800000000</v>
      </c>
      <c r="L39" s="343">
        <v>1100000000</v>
      </c>
      <c r="M39" s="343">
        <v>100000000</v>
      </c>
      <c r="N39" s="344">
        <f t="shared" si="1"/>
        <v>2000000000</v>
      </c>
      <c r="O39" s="78"/>
    </row>
    <row r="40" spans="1:15" ht="24.75" customHeight="1">
      <c r="A40" s="221"/>
      <c r="B40" s="342" t="s">
        <v>765</v>
      </c>
      <c r="C40" s="1065" t="s">
        <v>766</v>
      </c>
      <c r="D40" s="1066"/>
      <c r="E40" s="1066"/>
      <c r="F40" s="1067"/>
      <c r="G40" s="171" t="s">
        <v>67</v>
      </c>
      <c r="H40" s="174">
        <v>1</v>
      </c>
      <c r="I40" s="175" t="s">
        <v>68</v>
      </c>
      <c r="J40" s="343">
        <v>0</v>
      </c>
      <c r="K40" s="343">
        <v>2000000000</v>
      </c>
      <c r="L40" s="343">
        <v>2750000000</v>
      </c>
      <c r="M40" s="343">
        <v>250000000</v>
      </c>
      <c r="N40" s="344">
        <f t="shared" si="1"/>
        <v>5000000000</v>
      </c>
      <c r="O40" s="78"/>
    </row>
    <row r="41" spans="1:15">
      <c r="A41" s="228" t="s">
        <v>841</v>
      </c>
      <c r="B41" s="342"/>
      <c r="C41" s="1071" t="s">
        <v>658</v>
      </c>
      <c r="D41" s="1072"/>
      <c r="E41" s="1072"/>
      <c r="F41" s="1073"/>
      <c r="G41" s="365"/>
      <c r="H41" s="366"/>
      <c r="I41" s="367"/>
      <c r="J41" s="368">
        <f>SUM(J42:J47)</f>
        <v>100000000</v>
      </c>
      <c r="K41" s="368">
        <f>SUM(K42:K47)</f>
        <v>600000000</v>
      </c>
      <c r="L41" s="368">
        <f>SUM(L42:L47)</f>
        <v>25000000</v>
      </c>
      <c r="M41" s="368">
        <f>SUM(M42:M47)</f>
        <v>0</v>
      </c>
      <c r="N41" s="369">
        <f>N42+N43+N45++N46+N47+N44</f>
        <v>725000000</v>
      </c>
      <c r="O41" s="78"/>
    </row>
    <row r="42" spans="1:15" ht="21.75" customHeight="1">
      <c r="A42" s="221"/>
      <c r="B42" s="342" t="s">
        <v>659</v>
      </c>
      <c r="C42" s="1065" t="s">
        <v>660</v>
      </c>
      <c r="D42" s="1066"/>
      <c r="E42" s="1066"/>
      <c r="F42" s="1067"/>
      <c r="G42" s="171" t="s">
        <v>67</v>
      </c>
      <c r="H42" s="174">
        <v>1</v>
      </c>
      <c r="I42" s="175" t="s">
        <v>68</v>
      </c>
      <c r="J42" s="343">
        <v>0</v>
      </c>
      <c r="K42" s="343">
        <v>50000000</v>
      </c>
      <c r="L42" s="343">
        <v>0</v>
      </c>
      <c r="M42" s="343">
        <v>0</v>
      </c>
      <c r="N42" s="344">
        <f t="shared" ref="N42:N47" si="2">J42+K42+L42+M42</f>
        <v>50000000</v>
      </c>
      <c r="O42" s="78"/>
    </row>
    <row r="43" spans="1:15" ht="27.75" customHeight="1">
      <c r="A43" s="221"/>
      <c r="B43" s="342" t="s">
        <v>653</v>
      </c>
      <c r="C43" s="1065" t="s">
        <v>661</v>
      </c>
      <c r="D43" s="1066"/>
      <c r="E43" s="1066"/>
      <c r="F43" s="1067"/>
      <c r="G43" s="171" t="s">
        <v>67</v>
      </c>
      <c r="H43" s="174">
        <v>1</v>
      </c>
      <c r="I43" s="175" t="s">
        <v>68</v>
      </c>
      <c r="J43" s="343">
        <v>0</v>
      </c>
      <c r="K43" s="343">
        <v>200000000</v>
      </c>
      <c r="L43" s="343">
        <v>0</v>
      </c>
      <c r="M43" s="343">
        <v>0</v>
      </c>
      <c r="N43" s="344">
        <f t="shared" si="2"/>
        <v>200000000</v>
      </c>
      <c r="O43" s="78"/>
    </row>
    <row r="44" spans="1:15" ht="24" customHeight="1">
      <c r="A44" s="221"/>
      <c r="B44" s="342" t="s">
        <v>514</v>
      </c>
      <c r="C44" s="1065" t="s">
        <v>662</v>
      </c>
      <c r="D44" s="1066"/>
      <c r="E44" s="1066"/>
      <c r="F44" s="1067"/>
      <c r="G44" s="171" t="s">
        <v>67</v>
      </c>
      <c r="H44" s="174">
        <v>1</v>
      </c>
      <c r="I44" s="175" t="s">
        <v>68</v>
      </c>
      <c r="J44" s="343">
        <v>0</v>
      </c>
      <c r="K44" s="343">
        <v>0</v>
      </c>
      <c r="L44" s="343">
        <v>25000000</v>
      </c>
      <c r="M44" s="343">
        <v>0</v>
      </c>
      <c r="N44" s="344">
        <f t="shared" si="2"/>
        <v>25000000</v>
      </c>
      <c r="O44" s="78"/>
    </row>
    <row r="45" spans="1:15" ht="22.5" customHeight="1">
      <c r="A45" s="221"/>
      <c r="B45" s="342" t="s">
        <v>654</v>
      </c>
      <c r="C45" s="1065" t="s">
        <v>663</v>
      </c>
      <c r="D45" s="1066"/>
      <c r="E45" s="1066"/>
      <c r="F45" s="1067"/>
      <c r="G45" s="171" t="s">
        <v>67</v>
      </c>
      <c r="H45" s="174">
        <v>1</v>
      </c>
      <c r="I45" s="175" t="s">
        <v>68</v>
      </c>
      <c r="J45" s="343">
        <v>100000000</v>
      </c>
      <c r="K45" s="343">
        <v>0</v>
      </c>
      <c r="L45" s="343">
        <v>0</v>
      </c>
      <c r="M45" s="343">
        <v>0</v>
      </c>
      <c r="N45" s="344">
        <f t="shared" si="2"/>
        <v>100000000</v>
      </c>
      <c r="O45" s="78"/>
    </row>
    <row r="46" spans="1:15" ht="22.5" customHeight="1">
      <c r="A46" s="221"/>
      <c r="B46" s="342" t="s">
        <v>656</v>
      </c>
      <c r="C46" s="1065" t="s">
        <v>664</v>
      </c>
      <c r="D46" s="1066"/>
      <c r="E46" s="1066"/>
      <c r="F46" s="1067"/>
      <c r="G46" s="171" t="s">
        <v>67</v>
      </c>
      <c r="H46" s="174">
        <v>1</v>
      </c>
      <c r="I46" s="175" t="s">
        <v>68</v>
      </c>
      <c r="J46" s="343">
        <v>0</v>
      </c>
      <c r="K46" s="343">
        <v>150000000</v>
      </c>
      <c r="L46" s="343">
        <v>0</v>
      </c>
      <c r="M46" s="343">
        <v>0</v>
      </c>
      <c r="N46" s="344">
        <f t="shared" si="2"/>
        <v>150000000</v>
      </c>
      <c r="O46" s="78"/>
    </row>
    <row r="47" spans="1:15" ht="37.5" customHeight="1">
      <c r="A47" s="221"/>
      <c r="B47" s="342" t="s">
        <v>657</v>
      </c>
      <c r="C47" s="1065" t="s">
        <v>665</v>
      </c>
      <c r="D47" s="1066"/>
      <c r="E47" s="1066"/>
      <c r="F47" s="1067"/>
      <c r="G47" s="171" t="s">
        <v>67</v>
      </c>
      <c r="H47" s="174">
        <v>1</v>
      </c>
      <c r="I47" s="175" t="s">
        <v>68</v>
      </c>
      <c r="J47" s="343">
        <v>0</v>
      </c>
      <c r="K47" s="343">
        <v>200000000</v>
      </c>
      <c r="L47" s="343">
        <v>0</v>
      </c>
      <c r="M47" s="343">
        <v>0</v>
      </c>
      <c r="N47" s="344">
        <f t="shared" si="2"/>
        <v>200000000</v>
      </c>
      <c r="O47" s="78"/>
    </row>
    <row r="48" spans="1:15" ht="32.25" customHeight="1">
      <c r="A48" s="171"/>
      <c r="B48" s="173"/>
      <c r="C48" s="1078" t="s">
        <v>144</v>
      </c>
      <c r="D48" s="1079"/>
      <c r="E48" s="1079"/>
      <c r="F48" s="1079"/>
      <c r="G48" s="1079"/>
      <c r="H48" s="1079"/>
      <c r="I48" s="1080"/>
      <c r="J48" s="1081" t="s">
        <v>843</v>
      </c>
      <c r="K48" s="1082"/>
      <c r="L48" s="1083"/>
      <c r="M48" s="1081" t="s">
        <v>844</v>
      </c>
      <c r="N48" s="1083"/>
      <c r="O48" s="78"/>
    </row>
    <row r="49" spans="1:15" ht="37.5" customHeight="1">
      <c r="A49" s="151"/>
      <c r="B49" s="409"/>
      <c r="C49" s="410"/>
      <c r="D49" s="410"/>
      <c r="E49" s="410"/>
      <c r="F49" s="410"/>
      <c r="G49" s="151"/>
      <c r="H49" s="411"/>
      <c r="I49" s="412"/>
      <c r="J49" s="413"/>
      <c r="K49" s="413"/>
      <c r="L49" s="413"/>
      <c r="M49" s="413"/>
      <c r="N49" s="414"/>
      <c r="O49" s="78"/>
    </row>
    <row r="50" spans="1:15" ht="37.5" customHeight="1">
      <c r="A50" s="151"/>
      <c r="B50" s="409"/>
      <c r="C50" s="410"/>
      <c r="D50" s="410"/>
      <c r="E50" s="410"/>
      <c r="F50" s="410"/>
      <c r="G50" s="151"/>
      <c r="H50" s="411"/>
      <c r="I50" s="412"/>
      <c r="J50" s="413"/>
      <c r="K50" s="413"/>
      <c r="L50" s="413"/>
      <c r="M50" s="413"/>
      <c r="N50" s="414"/>
      <c r="O50" s="78"/>
    </row>
    <row r="51" spans="1:15" ht="37.5" customHeight="1">
      <c r="A51" s="151"/>
      <c r="B51" s="409"/>
      <c r="C51" s="410"/>
      <c r="D51" s="410"/>
      <c r="E51" s="410"/>
      <c r="F51" s="410"/>
      <c r="G51" s="151"/>
      <c r="H51" s="411"/>
      <c r="I51" s="412"/>
      <c r="J51" s="413"/>
      <c r="K51" s="413"/>
      <c r="L51" s="413"/>
      <c r="M51" s="413"/>
      <c r="N51" s="414"/>
      <c r="O51" s="78"/>
    </row>
    <row r="52" spans="1:15" ht="25.5" customHeight="1" thickBot="1">
      <c r="O52" s="78"/>
    </row>
    <row r="53" spans="1:15" ht="25.5" customHeight="1">
      <c r="A53" s="415" t="s">
        <v>103</v>
      </c>
      <c r="B53" s="416"/>
      <c r="C53" s="1084" t="s">
        <v>104</v>
      </c>
      <c r="D53" s="1085"/>
      <c r="E53" s="1085"/>
      <c r="F53" s="1086"/>
      <c r="G53" s="417" t="s">
        <v>67</v>
      </c>
      <c r="H53" s="418">
        <v>1</v>
      </c>
      <c r="I53" s="419" t="s">
        <v>68</v>
      </c>
      <c r="J53" s="420">
        <f>SUM(J54:J63)</f>
        <v>25000000</v>
      </c>
      <c r="K53" s="420">
        <f>SUM(K54:K63)</f>
        <v>505000000</v>
      </c>
      <c r="L53" s="420">
        <f>SUM(L54:L63)</f>
        <v>740000000</v>
      </c>
      <c r="M53" s="420">
        <f>SUM(M54:M63)</f>
        <v>5000000</v>
      </c>
      <c r="N53" s="420">
        <f>SUM(N54:N63)</f>
        <v>1275000000</v>
      </c>
      <c r="O53" s="78"/>
    </row>
    <row r="54" spans="1:15" ht="25.5" customHeight="1">
      <c r="A54" s="180"/>
      <c r="B54" s="179" t="s">
        <v>666</v>
      </c>
      <c r="C54" s="1065" t="s">
        <v>674</v>
      </c>
      <c r="D54" s="1066"/>
      <c r="E54" s="1066"/>
      <c r="F54" s="1067"/>
      <c r="G54" s="171" t="s">
        <v>67</v>
      </c>
      <c r="H54" s="174">
        <v>1</v>
      </c>
      <c r="I54" s="175" t="s">
        <v>68</v>
      </c>
      <c r="J54" s="370">
        <v>0</v>
      </c>
      <c r="K54" s="178">
        <v>50000000</v>
      </c>
      <c r="L54" s="178">
        <v>0</v>
      </c>
      <c r="M54" s="178">
        <v>0</v>
      </c>
      <c r="N54" s="227">
        <f>J54+K54+L54+M54</f>
        <v>50000000</v>
      </c>
      <c r="O54" s="78"/>
    </row>
    <row r="55" spans="1:15" ht="39" customHeight="1">
      <c r="A55" s="180"/>
      <c r="B55" s="169" t="s">
        <v>516</v>
      </c>
      <c r="C55" s="1065" t="s">
        <v>675</v>
      </c>
      <c r="D55" s="1066"/>
      <c r="E55" s="1066"/>
      <c r="F55" s="1067"/>
      <c r="G55" s="171" t="s">
        <v>67</v>
      </c>
      <c r="H55" s="172">
        <v>1</v>
      </c>
      <c r="I55" s="175" t="s">
        <v>68</v>
      </c>
      <c r="J55" s="177">
        <v>0</v>
      </c>
      <c r="K55" s="177">
        <v>0</v>
      </c>
      <c r="L55" s="177">
        <v>50000000</v>
      </c>
      <c r="M55" s="177">
        <f>-M54</f>
        <v>0</v>
      </c>
      <c r="N55" s="227">
        <f t="shared" ref="N55:N63" si="3">J55+K55+L55+M55</f>
        <v>50000000</v>
      </c>
      <c r="O55" s="78"/>
    </row>
    <row r="56" spans="1:15" ht="22.5" customHeight="1">
      <c r="A56" s="180"/>
      <c r="B56" s="169" t="s">
        <v>667</v>
      </c>
      <c r="C56" s="1077" t="s">
        <v>676</v>
      </c>
      <c r="D56" s="1077"/>
      <c r="E56" s="1077"/>
      <c r="F56" s="1077"/>
      <c r="G56" s="171" t="s">
        <v>67</v>
      </c>
      <c r="H56" s="172">
        <v>1</v>
      </c>
      <c r="I56" s="175" t="s">
        <v>68</v>
      </c>
      <c r="J56" s="177">
        <v>0</v>
      </c>
      <c r="K56" s="177">
        <v>0</v>
      </c>
      <c r="L56" s="177">
        <v>100000000</v>
      </c>
      <c r="M56" s="177">
        <v>0</v>
      </c>
      <c r="N56" s="227">
        <f t="shared" si="3"/>
        <v>100000000</v>
      </c>
      <c r="O56" s="78"/>
    </row>
    <row r="57" spans="1:15" ht="22.5" customHeight="1">
      <c r="A57" s="180"/>
      <c r="B57" s="169" t="s">
        <v>668</v>
      </c>
      <c r="C57" s="1077" t="s">
        <v>677</v>
      </c>
      <c r="D57" s="1077"/>
      <c r="E57" s="1077"/>
      <c r="F57" s="1077"/>
      <c r="G57" s="171" t="s">
        <v>67</v>
      </c>
      <c r="H57" s="172">
        <v>1</v>
      </c>
      <c r="I57" s="175" t="s">
        <v>68</v>
      </c>
      <c r="J57" s="177">
        <v>25000000</v>
      </c>
      <c r="K57" s="177">
        <v>0</v>
      </c>
      <c r="L57" s="177">
        <v>0</v>
      </c>
      <c r="M57" s="177">
        <v>0</v>
      </c>
      <c r="N57" s="227">
        <f t="shared" si="3"/>
        <v>25000000</v>
      </c>
      <c r="O57" s="78"/>
    </row>
    <row r="58" spans="1:15" ht="22.5" customHeight="1">
      <c r="A58" s="180"/>
      <c r="B58" s="169" t="s">
        <v>669</v>
      </c>
      <c r="C58" s="1065" t="s">
        <v>678</v>
      </c>
      <c r="D58" s="1066"/>
      <c r="E58" s="1066"/>
      <c r="F58" s="1067"/>
      <c r="G58" s="171" t="s">
        <v>67</v>
      </c>
      <c r="H58" s="172">
        <v>1</v>
      </c>
      <c r="I58" s="175" t="s">
        <v>68</v>
      </c>
      <c r="J58" s="177">
        <v>0</v>
      </c>
      <c r="K58" s="177">
        <v>200000000</v>
      </c>
      <c r="L58" s="177">
        <v>0</v>
      </c>
      <c r="M58" s="177">
        <v>0</v>
      </c>
      <c r="N58" s="227">
        <f t="shared" si="3"/>
        <v>200000000</v>
      </c>
      <c r="O58" s="78"/>
    </row>
    <row r="59" spans="1:15" ht="22.5" customHeight="1">
      <c r="A59" s="180"/>
      <c r="B59" s="169" t="s">
        <v>670</v>
      </c>
      <c r="C59" s="1065" t="s">
        <v>679</v>
      </c>
      <c r="D59" s="1066"/>
      <c r="E59" s="1066"/>
      <c r="F59" s="1067"/>
      <c r="G59" s="171" t="s">
        <v>67</v>
      </c>
      <c r="H59" s="172">
        <v>1</v>
      </c>
      <c r="I59" s="175" t="s">
        <v>68</v>
      </c>
      <c r="J59" s="177">
        <v>0</v>
      </c>
      <c r="K59" s="177">
        <v>0</v>
      </c>
      <c r="L59" s="177">
        <v>150000000</v>
      </c>
      <c r="M59" s="177">
        <v>0</v>
      </c>
      <c r="N59" s="227">
        <f t="shared" si="3"/>
        <v>150000000</v>
      </c>
      <c r="O59" s="78"/>
    </row>
    <row r="60" spans="1:15" ht="22.5" customHeight="1">
      <c r="A60" s="180"/>
      <c r="B60" s="169" t="s">
        <v>671</v>
      </c>
      <c r="C60" s="1065" t="s">
        <v>680</v>
      </c>
      <c r="D60" s="1066"/>
      <c r="E60" s="1066"/>
      <c r="F60" s="1067"/>
      <c r="G60" s="171" t="s">
        <v>67</v>
      </c>
      <c r="H60" s="172">
        <v>1</v>
      </c>
      <c r="I60" s="175" t="s">
        <v>68</v>
      </c>
      <c r="J60" s="177">
        <v>0</v>
      </c>
      <c r="K60" s="177">
        <v>200000000</v>
      </c>
      <c r="L60" s="177">
        <v>0</v>
      </c>
      <c r="M60" s="177">
        <v>0</v>
      </c>
      <c r="N60" s="227">
        <f t="shared" si="3"/>
        <v>200000000</v>
      </c>
      <c r="O60" s="78"/>
    </row>
    <row r="61" spans="1:15" ht="22.5" customHeight="1">
      <c r="A61" s="180"/>
      <c r="B61" s="169" t="s">
        <v>672</v>
      </c>
      <c r="C61" s="1065" t="s">
        <v>681</v>
      </c>
      <c r="D61" s="1066"/>
      <c r="E61" s="1066"/>
      <c r="F61" s="1067"/>
      <c r="G61" s="171" t="s">
        <v>67</v>
      </c>
      <c r="H61" s="172">
        <v>1</v>
      </c>
      <c r="I61" s="175" t="s">
        <v>68</v>
      </c>
      <c r="J61" s="177">
        <v>0</v>
      </c>
      <c r="K61" s="177">
        <v>0</v>
      </c>
      <c r="L61" s="177">
        <v>200000000</v>
      </c>
      <c r="M61" s="177">
        <v>0</v>
      </c>
      <c r="N61" s="227">
        <f t="shared" si="3"/>
        <v>200000000</v>
      </c>
      <c r="O61" s="78"/>
    </row>
    <row r="62" spans="1:15" ht="22.5" customHeight="1">
      <c r="A62" s="180"/>
      <c r="B62" s="169" t="s">
        <v>673</v>
      </c>
      <c r="C62" s="1065" t="s">
        <v>682</v>
      </c>
      <c r="D62" s="1066"/>
      <c r="E62" s="1066"/>
      <c r="F62" s="1067"/>
      <c r="G62" s="171" t="s">
        <v>67</v>
      </c>
      <c r="H62" s="172">
        <v>1</v>
      </c>
      <c r="I62" s="175" t="s">
        <v>68</v>
      </c>
      <c r="J62" s="177">
        <v>0</v>
      </c>
      <c r="K62" s="177">
        <v>15000000</v>
      </c>
      <c r="L62" s="177">
        <v>185000000</v>
      </c>
      <c r="M62" s="177">
        <v>0</v>
      </c>
      <c r="N62" s="227">
        <f t="shared" si="3"/>
        <v>200000000</v>
      </c>
      <c r="O62" s="78"/>
    </row>
    <row r="63" spans="1:15" ht="22.5" customHeight="1">
      <c r="A63" s="180"/>
      <c r="B63" s="169" t="s">
        <v>715</v>
      </c>
      <c r="C63" s="1065" t="s">
        <v>716</v>
      </c>
      <c r="D63" s="1066"/>
      <c r="E63" s="1066"/>
      <c r="F63" s="1067"/>
      <c r="G63" s="171" t="s">
        <v>67</v>
      </c>
      <c r="H63" s="172">
        <v>1</v>
      </c>
      <c r="I63" s="175" t="s">
        <v>68</v>
      </c>
      <c r="J63" s="177"/>
      <c r="K63" s="177">
        <v>40000000</v>
      </c>
      <c r="L63" s="177">
        <v>55000000</v>
      </c>
      <c r="M63" s="177">
        <v>5000000</v>
      </c>
      <c r="N63" s="227">
        <f t="shared" si="3"/>
        <v>100000000</v>
      </c>
      <c r="O63" s="78"/>
    </row>
    <row r="64" spans="1:15" ht="22.5" customHeight="1">
      <c r="A64" s="225" t="s">
        <v>683</v>
      </c>
      <c r="B64" s="169"/>
      <c r="C64" s="1071" t="s">
        <v>684</v>
      </c>
      <c r="D64" s="1072"/>
      <c r="E64" s="1072"/>
      <c r="F64" s="1073"/>
      <c r="G64" s="171" t="s">
        <v>67</v>
      </c>
      <c r="H64" s="172">
        <v>1</v>
      </c>
      <c r="I64" s="175" t="s">
        <v>68</v>
      </c>
      <c r="J64" s="305">
        <f>J65+J66+J67</f>
        <v>92500000</v>
      </c>
      <c r="K64" s="305">
        <f>K65+K66+K67</f>
        <v>207500000</v>
      </c>
      <c r="L64" s="305">
        <f>L65+L66+L67</f>
        <v>0</v>
      </c>
      <c r="M64" s="305">
        <f>M65+M66+M67</f>
        <v>0</v>
      </c>
      <c r="N64" s="305">
        <f>N65+N66+N67</f>
        <v>300000000</v>
      </c>
      <c r="O64" s="78"/>
    </row>
    <row r="65" spans="1:17" ht="23.25" customHeight="1">
      <c r="A65" s="180"/>
      <c r="B65" s="169" t="s">
        <v>688</v>
      </c>
      <c r="C65" s="1065" t="s">
        <v>685</v>
      </c>
      <c r="D65" s="1066"/>
      <c r="E65" s="1066"/>
      <c r="F65" s="1067"/>
      <c r="G65" s="171" t="s">
        <v>67</v>
      </c>
      <c r="H65" s="172">
        <v>1</v>
      </c>
      <c r="I65" s="175" t="s">
        <v>68</v>
      </c>
      <c r="J65" s="177">
        <v>42500000</v>
      </c>
      <c r="K65" s="177">
        <v>7500000</v>
      </c>
      <c r="L65" s="177">
        <v>0</v>
      </c>
      <c r="M65" s="177">
        <v>0</v>
      </c>
      <c r="N65" s="378">
        <f>J65+K65+L65+M65</f>
        <v>50000000</v>
      </c>
      <c r="O65" s="78"/>
    </row>
    <row r="66" spans="1:17" ht="24" customHeight="1">
      <c r="A66" s="180"/>
      <c r="B66" s="169" t="s">
        <v>689</v>
      </c>
      <c r="C66" s="1065" t="s">
        <v>686</v>
      </c>
      <c r="D66" s="1066"/>
      <c r="E66" s="1066"/>
      <c r="F66" s="1067"/>
      <c r="G66" s="171" t="s">
        <v>67</v>
      </c>
      <c r="H66" s="172">
        <v>1</v>
      </c>
      <c r="I66" s="175" t="s">
        <v>68</v>
      </c>
      <c r="J66" s="177">
        <v>50000000</v>
      </c>
      <c r="K66" s="177">
        <v>0</v>
      </c>
      <c r="L66" s="177">
        <v>0</v>
      </c>
      <c r="M66" s="177">
        <v>0</v>
      </c>
      <c r="N66" s="378">
        <f>J66+K66+L66+M66</f>
        <v>50000000</v>
      </c>
      <c r="O66" s="78"/>
    </row>
    <row r="67" spans="1:17" ht="26.25" customHeight="1">
      <c r="A67" s="180"/>
      <c r="B67" s="169" t="s">
        <v>690</v>
      </c>
      <c r="C67" s="1065" t="s">
        <v>687</v>
      </c>
      <c r="D67" s="1066"/>
      <c r="E67" s="1066"/>
      <c r="F67" s="1067"/>
      <c r="G67" s="171" t="s">
        <v>67</v>
      </c>
      <c r="H67" s="172">
        <v>1</v>
      </c>
      <c r="I67" s="175" t="s">
        <v>68</v>
      </c>
      <c r="J67" s="177">
        <v>0</v>
      </c>
      <c r="K67" s="177">
        <v>200000000</v>
      </c>
      <c r="L67" s="177">
        <v>0</v>
      </c>
      <c r="M67" s="177">
        <v>0</v>
      </c>
      <c r="N67" s="181">
        <f>J67+K67+L67+M67</f>
        <v>200000000</v>
      </c>
      <c r="O67" s="78"/>
    </row>
    <row r="68" spans="1:17" ht="22.5" customHeight="1">
      <c r="A68" s="225" t="s">
        <v>517</v>
      </c>
      <c r="B68" s="171"/>
      <c r="C68" s="1057" t="s">
        <v>518</v>
      </c>
      <c r="D68" s="1057"/>
      <c r="E68" s="1057"/>
      <c r="F68" s="1057"/>
      <c r="G68" s="171"/>
      <c r="H68" s="172"/>
      <c r="I68" s="175"/>
      <c r="J68" s="305">
        <f>J69+J70</f>
        <v>0</v>
      </c>
      <c r="K68" s="305">
        <f>K69+K70</f>
        <v>200000000</v>
      </c>
      <c r="L68" s="305">
        <f>L69+L70</f>
        <v>0</v>
      </c>
      <c r="M68" s="305">
        <f>M69+M70</f>
        <v>0</v>
      </c>
      <c r="N68" s="305">
        <f>N69+N70</f>
        <v>200000000</v>
      </c>
      <c r="O68" s="78"/>
    </row>
    <row r="69" spans="1:17" ht="21" customHeight="1">
      <c r="A69" s="180"/>
      <c r="B69" s="169" t="s">
        <v>692</v>
      </c>
      <c r="C69" s="1088" t="s">
        <v>691</v>
      </c>
      <c r="D69" s="1088"/>
      <c r="E69" s="1088"/>
      <c r="F69" s="1088"/>
      <c r="G69" s="171" t="s">
        <v>67</v>
      </c>
      <c r="H69" s="172">
        <v>1</v>
      </c>
      <c r="I69" s="175" t="s">
        <v>68</v>
      </c>
      <c r="J69" s="178">
        <v>0</v>
      </c>
      <c r="K69" s="178">
        <v>100000000</v>
      </c>
      <c r="L69" s="178">
        <v>0</v>
      </c>
      <c r="M69" s="178">
        <v>0</v>
      </c>
      <c r="N69" s="181">
        <f>J69+K69+L69+M69</f>
        <v>100000000</v>
      </c>
      <c r="O69" s="78"/>
    </row>
    <row r="70" spans="1:17" ht="24.75" customHeight="1">
      <c r="A70" s="180"/>
      <c r="B70" s="169" t="s">
        <v>693</v>
      </c>
      <c r="C70" s="1065" t="s">
        <v>694</v>
      </c>
      <c r="D70" s="1066"/>
      <c r="E70" s="1066"/>
      <c r="F70" s="1067"/>
      <c r="G70" s="171" t="s">
        <v>67</v>
      </c>
      <c r="H70" s="172">
        <v>1</v>
      </c>
      <c r="I70" s="175" t="s">
        <v>68</v>
      </c>
      <c r="J70" s="178">
        <v>0</v>
      </c>
      <c r="K70" s="178">
        <v>100000000</v>
      </c>
      <c r="L70" s="178">
        <v>0</v>
      </c>
      <c r="M70" s="178">
        <v>0</v>
      </c>
      <c r="N70" s="181">
        <f>J70+K70+L70+M70</f>
        <v>100000000</v>
      </c>
      <c r="O70" s="78"/>
    </row>
    <row r="71" spans="1:17" ht="21" customHeight="1">
      <c r="A71" s="180"/>
      <c r="B71" s="171"/>
      <c r="C71" s="1054"/>
      <c r="D71" s="1055"/>
      <c r="E71" s="1055"/>
      <c r="F71" s="1052"/>
      <c r="G71" s="171"/>
      <c r="H71" s="171"/>
      <c r="I71" s="171"/>
      <c r="J71" s="171"/>
      <c r="K71" s="171"/>
      <c r="L71" s="171"/>
      <c r="M71" s="171"/>
      <c r="N71" s="181"/>
    </row>
    <row r="72" spans="1:17" ht="30.75" customHeight="1">
      <c r="A72" s="182"/>
      <c r="B72" s="183"/>
      <c r="C72" s="183"/>
      <c r="D72" s="183"/>
      <c r="E72" s="183"/>
      <c r="F72" s="183"/>
      <c r="G72" s="183"/>
      <c r="H72" s="183"/>
      <c r="I72" s="184"/>
      <c r="J72" s="185">
        <f>J53+J33+J41+J28+J14+J64</f>
        <v>605548000</v>
      </c>
      <c r="K72" s="185">
        <f>K53+K33+K41+K28+K14+K64+K68</f>
        <v>4632519000</v>
      </c>
      <c r="L72" s="185">
        <f>L53+L33+L41+L28+L14+L64</f>
        <v>4792121850</v>
      </c>
      <c r="M72" s="185">
        <f>M53+M33+M41+M28+M14+M64</f>
        <v>474421150</v>
      </c>
      <c r="N72" s="185">
        <f>J72+K72+L72+M72</f>
        <v>10504610000</v>
      </c>
    </row>
    <row r="73" spans="1:17">
      <c r="A73" s="150"/>
      <c r="B73" s="151"/>
      <c r="C73" s="151"/>
      <c r="D73" s="151"/>
      <c r="E73" s="151"/>
      <c r="F73" s="151"/>
      <c r="G73" s="1053"/>
      <c r="H73" s="1040"/>
      <c r="I73" s="1040"/>
      <c r="J73" s="1040"/>
      <c r="K73" s="1040"/>
      <c r="L73" s="1040"/>
      <c r="M73" s="1040"/>
      <c r="N73" s="1089"/>
      <c r="Q73" s="78">
        <v>1970186000</v>
      </c>
    </row>
    <row r="74" spans="1:17">
      <c r="A74" s="150" t="s">
        <v>105</v>
      </c>
      <c r="B74" s="151"/>
      <c r="C74" s="151"/>
      <c r="D74" s="151"/>
      <c r="E74" s="151"/>
      <c r="F74" s="151"/>
      <c r="G74" s="1036" t="s">
        <v>836</v>
      </c>
      <c r="H74" s="1037"/>
      <c r="I74" s="1037"/>
      <c r="J74" s="1037"/>
      <c r="K74" s="1037"/>
      <c r="L74" s="1037"/>
      <c r="M74" s="1037"/>
      <c r="N74" s="1038"/>
      <c r="Q74" s="78" t="e">
        <f>#REF!+Q73</f>
        <v>#REF!</v>
      </c>
    </row>
    <row r="75" spans="1:17">
      <c r="A75" s="150" t="s">
        <v>106</v>
      </c>
      <c r="B75" s="151"/>
      <c r="C75" s="151" t="s">
        <v>17</v>
      </c>
      <c r="D75" s="1087">
        <v>593373000</v>
      </c>
      <c r="E75" s="1087"/>
      <c r="F75" s="151"/>
      <c r="G75" s="1036" t="s">
        <v>585</v>
      </c>
      <c r="H75" s="1037"/>
      <c r="I75" s="1037"/>
      <c r="J75" s="1037"/>
      <c r="K75" s="1037"/>
      <c r="L75" s="1037"/>
      <c r="M75" s="1037"/>
      <c r="N75" s="1038"/>
    </row>
    <row r="76" spans="1:17">
      <c r="A76" s="150" t="s">
        <v>107</v>
      </c>
      <c r="B76" s="151"/>
      <c r="C76" s="151" t="s">
        <v>17</v>
      </c>
      <c r="D76" s="1087">
        <v>4649694000</v>
      </c>
      <c r="E76" s="1087"/>
      <c r="F76" s="151"/>
      <c r="G76" s="300"/>
      <c r="H76" s="301"/>
      <c r="I76" s="301"/>
      <c r="J76" s="301"/>
      <c r="K76" s="1037" t="s">
        <v>537</v>
      </c>
      <c r="L76" s="1037"/>
      <c r="M76" s="301"/>
      <c r="N76" s="302"/>
    </row>
    <row r="77" spans="1:17">
      <c r="A77" s="150" t="s">
        <v>108</v>
      </c>
      <c r="B77" s="151"/>
      <c r="C77" s="151" t="s">
        <v>17</v>
      </c>
      <c r="D77" s="1087">
        <v>4787121850</v>
      </c>
      <c r="E77" s="1087"/>
      <c r="F77" s="151"/>
      <c r="G77" s="300"/>
      <c r="H77" s="301"/>
      <c r="I77" s="301"/>
      <c r="J77" s="301"/>
      <c r="K77" s="301"/>
      <c r="L77" s="301"/>
      <c r="M77" s="301"/>
      <c r="N77" s="302"/>
      <c r="Q77" s="78">
        <f>J72+K72+L72+M72</f>
        <v>10504610000</v>
      </c>
    </row>
    <row r="78" spans="1:17">
      <c r="A78" s="150" t="s">
        <v>109</v>
      </c>
      <c r="B78" s="151"/>
      <c r="C78" s="153" t="s">
        <v>17</v>
      </c>
      <c r="D78" s="1091">
        <v>474421150</v>
      </c>
      <c r="E78" s="1091"/>
      <c r="F78" s="151"/>
      <c r="G78" s="300"/>
      <c r="H78" s="301"/>
      <c r="I78" s="301"/>
      <c r="J78" s="301"/>
      <c r="K78" s="301"/>
      <c r="L78" s="301"/>
      <c r="M78" s="301"/>
      <c r="N78" s="302"/>
    </row>
    <row r="79" spans="1:17">
      <c r="A79" s="1098" t="s">
        <v>110</v>
      </c>
      <c r="B79" s="1037"/>
      <c r="C79" s="153" t="s">
        <v>17</v>
      </c>
      <c r="D79" s="1099">
        <f>SUM(D75:E78)</f>
        <v>10504610000</v>
      </c>
      <c r="E79" s="1099"/>
      <c r="F79" s="151"/>
      <c r="G79" s="1095" t="s">
        <v>192</v>
      </c>
      <c r="H79" s="1096"/>
      <c r="I79" s="1096"/>
      <c r="J79" s="1096"/>
      <c r="K79" s="1096"/>
      <c r="L79" s="1096"/>
      <c r="M79" s="1096"/>
      <c r="N79" s="1097"/>
    </row>
    <row r="80" spans="1:17">
      <c r="A80" s="150"/>
      <c r="B80" s="151"/>
      <c r="C80" s="151"/>
      <c r="D80" s="151"/>
      <c r="E80" s="151"/>
      <c r="F80" s="151"/>
      <c r="G80" s="1092" t="s">
        <v>837</v>
      </c>
      <c r="H80" s="1043"/>
      <c r="I80" s="1043"/>
      <c r="J80" s="1043"/>
      <c r="K80" s="1043"/>
      <c r="L80" s="1043"/>
      <c r="M80" s="1043"/>
      <c r="N80" s="1093"/>
    </row>
    <row r="81" spans="1:14">
      <c r="A81" s="1054" t="s">
        <v>521</v>
      </c>
      <c r="B81" s="1055"/>
      <c r="C81" s="1055"/>
      <c r="D81" s="1055"/>
      <c r="E81" s="1055"/>
      <c r="F81" s="1052"/>
      <c r="G81" s="1094" t="s">
        <v>838</v>
      </c>
      <c r="H81" s="1040"/>
      <c r="I81" s="1040"/>
      <c r="J81" s="1040"/>
      <c r="K81" s="1040"/>
      <c r="L81" s="1040"/>
      <c r="M81" s="1040"/>
      <c r="N81" s="1089"/>
    </row>
    <row r="82" spans="1:14">
      <c r="A82" s="150"/>
      <c r="B82" s="151"/>
      <c r="C82" s="151"/>
      <c r="D82" s="151"/>
      <c r="E82" s="151"/>
      <c r="F82" s="151"/>
      <c r="G82" s="1036" t="s">
        <v>114</v>
      </c>
      <c r="H82" s="1037"/>
      <c r="I82" s="1037"/>
      <c r="J82" s="1037"/>
      <c r="K82" s="1037"/>
      <c r="L82" s="1037"/>
      <c r="M82" s="1037"/>
      <c r="N82" s="1038"/>
    </row>
    <row r="83" spans="1:14">
      <c r="A83" s="157">
        <v>1</v>
      </c>
      <c r="B83" s="151" t="s">
        <v>460</v>
      </c>
      <c r="C83" s="151"/>
      <c r="D83" s="151" t="s">
        <v>523</v>
      </c>
      <c r="E83" s="195"/>
      <c r="F83" s="151"/>
      <c r="G83" s="155"/>
      <c r="H83" s="151"/>
      <c r="I83" s="151"/>
      <c r="J83" s="151"/>
      <c r="K83" s="151"/>
      <c r="L83" s="151"/>
      <c r="M83" s="151"/>
      <c r="N83" s="186"/>
    </row>
    <row r="84" spans="1:14">
      <c r="A84" s="150"/>
      <c r="B84" s="151"/>
      <c r="C84" s="151"/>
      <c r="D84" s="151"/>
      <c r="E84" s="151"/>
      <c r="F84" s="151"/>
      <c r="G84" s="155"/>
      <c r="H84" s="151"/>
      <c r="I84" s="151"/>
      <c r="J84" s="151"/>
      <c r="K84" s="151"/>
      <c r="L84" s="151"/>
      <c r="M84" s="151"/>
      <c r="N84" s="186"/>
    </row>
    <row r="85" spans="1:14">
      <c r="A85" s="150">
        <v>2</v>
      </c>
      <c r="B85" s="151" t="s">
        <v>522</v>
      </c>
      <c r="C85" s="151"/>
      <c r="D85" s="151"/>
      <c r="E85" s="151" t="s">
        <v>524</v>
      </c>
      <c r="F85" s="195"/>
      <c r="G85" s="155"/>
      <c r="H85" s="151"/>
      <c r="I85" s="151"/>
      <c r="J85" s="151"/>
      <c r="K85" s="151"/>
      <c r="L85" s="151"/>
      <c r="M85" s="151"/>
      <c r="N85" s="186"/>
    </row>
    <row r="86" spans="1:14">
      <c r="A86" s="150"/>
      <c r="B86" s="151"/>
      <c r="C86" s="151"/>
      <c r="D86" s="151"/>
      <c r="E86" s="151"/>
      <c r="F86" s="151"/>
      <c r="G86" s="1095" t="s">
        <v>839</v>
      </c>
      <c r="H86" s="1096"/>
      <c r="I86" s="1096"/>
      <c r="J86" s="1096"/>
      <c r="K86" s="1096"/>
      <c r="L86" s="1096"/>
      <c r="M86" s="1096"/>
      <c r="N86" s="1097"/>
    </row>
    <row r="87" spans="1:14">
      <c r="A87" s="150"/>
      <c r="B87" s="151"/>
      <c r="C87" s="151"/>
      <c r="D87" s="151"/>
      <c r="E87" s="195"/>
      <c r="F87" s="151"/>
      <c r="G87" s="1090" t="s">
        <v>840</v>
      </c>
      <c r="H87" s="1037"/>
      <c r="I87" s="1037"/>
      <c r="J87" s="1037"/>
      <c r="K87" s="1037"/>
      <c r="L87" s="1037"/>
      <c r="M87" s="1037"/>
      <c r="N87" s="1038"/>
    </row>
    <row r="88" spans="1:14" ht="15.75" thickBot="1">
      <c r="A88" s="158"/>
      <c r="B88" s="159"/>
      <c r="C88" s="159"/>
      <c r="D88" s="159"/>
      <c r="E88" s="159"/>
      <c r="F88" s="159"/>
      <c r="G88" s="160"/>
      <c r="H88" s="159"/>
      <c r="I88" s="159"/>
      <c r="J88" s="159"/>
      <c r="K88" s="159"/>
      <c r="L88" s="159"/>
      <c r="M88" s="159"/>
      <c r="N88" s="187"/>
    </row>
  </sheetData>
  <mergeCells count="86">
    <mergeCell ref="C64:F64"/>
    <mergeCell ref="C65:F65"/>
    <mergeCell ref="C66:F66"/>
    <mergeCell ref="C67:F67"/>
    <mergeCell ref="C47:F47"/>
    <mergeCell ref="C59:F59"/>
    <mergeCell ref="C56:F56"/>
    <mergeCell ref="C58:F58"/>
    <mergeCell ref="C63:F63"/>
    <mergeCell ref="C57:F57"/>
    <mergeCell ref="C54:F54"/>
    <mergeCell ref="C60:F60"/>
    <mergeCell ref="C61:F61"/>
    <mergeCell ref="C62:F62"/>
    <mergeCell ref="C34:F34"/>
    <mergeCell ref="C45:F45"/>
    <mergeCell ref="C46:F46"/>
    <mergeCell ref="C39:F39"/>
    <mergeCell ref="C35:F35"/>
    <mergeCell ref="C36:F36"/>
    <mergeCell ref="C42:F42"/>
    <mergeCell ref="C41:F41"/>
    <mergeCell ref="G73:N73"/>
    <mergeCell ref="C68:F68"/>
    <mergeCell ref="C70:F70"/>
    <mergeCell ref="C69:F69"/>
    <mergeCell ref="C71:F71"/>
    <mergeCell ref="G87:N87"/>
    <mergeCell ref="G74:N74"/>
    <mergeCell ref="D75:E75"/>
    <mergeCell ref="G75:N75"/>
    <mergeCell ref="D76:E76"/>
    <mergeCell ref="D77:E77"/>
    <mergeCell ref="A81:F81"/>
    <mergeCell ref="G81:N81"/>
    <mergeCell ref="D79:E79"/>
    <mergeCell ref="G79:N79"/>
    <mergeCell ref="G80:N80"/>
    <mergeCell ref="K76:L76"/>
    <mergeCell ref="G82:N82"/>
    <mergeCell ref="D78:E78"/>
    <mergeCell ref="G86:N86"/>
    <mergeCell ref="A79:B79"/>
    <mergeCell ref="C27:F27"/>
    <mergeCell ref="C24:F24"/>
    <mergeCell ref="C25:F25"/>
    <mergeCell ref="C26:F26"/>
    <mergeCell ref="C53:F53"/>
    <mergeCell ref="C37:F37"/>
    <mergeCell ref="C38:F38"/>
    <mergeCell ref="C43:F43"/>
    <mergeCell ref="C44:F44"/>
    <mergeCell ref="C33:F33"/>
    <mergeCell ref="C48:I48"/>
    <mergeCell ref="C28:F28"/>
    <mergeCell ref="C29:F29"/>
    <mergeCell ref="C30:F30"/>
    <mergeCell ref="C31:F31"/>
    <mergeCell ref="C32:F32"/>
    <mergeCell ref="A4:H4"/>
    <mergeCell ref="A7:N7"/>
    <mergeCell ref="A8:N8"/>
    <mergeCell ref="A9:B9"/>
    <mergeCell ref="C9:F9"/>
    <mergeCell ref="J9:M9"/>
    <mergeCell ref="C18:F18"/>
    <mergeCell ref="C19:F19"/>
    <mergeCell ref="C20:F20"/>
    <mergeCell ref="C21:F21"/>
    <mergeCell ref="C22:F22"/>
    <mergeCell ref="J48:L48"/>
    <mergeCell ref="M48:N48"/>
    <mergeCell ref="C55:F55"/>
    <mergeCell ref="C40:F40"/>
    <mergeCell ref="A1:H1"/>
    <mergeCell ref="I1:N1"/>
    <mergeCell ref="A2:H2"/>
    <mergeCell ref="I2:N2"/>
    <mergeCell ref="A3:H3"/>
    <mergeCell ref="I3:N3"/>
    <mergeCell ref="C14:F14"/>
    <mergeCell ref="C12:F12"/>
    <mergeCell ref="C23:F23"/>
    <mergeCell ref="C15:F15"/>
    <mergeCell ref="C16:F16"/>
    <mergeCell ref="C17:F17"/>
  </mergeCells>
  <pageMargins left="0.511811023622047" right="0.511811023622047" top="0.511811023622047" bottom="0.511811023622047" header="0.31496062992126" footer="0.31496062992126"/>
  <pageSetup scale="7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4"/>
  <sheetViews>
    <sheetView view="pageBreakPreview" topLeftCell="A28" zoomScale="90" zoomScaleSheetLayoutView="90" workbookViewId="0">
      <selection activeCell="J1" sqref="J1:K2"/>
    </sheetView>
  </sheetViews>
  <sheetFormatPr defaultRowHeight="15"/>
  <cols>
    <col min="1" max="1" width="6.7109375" customWidth="1"/>
    <col min="2" max="2" width="6.85546875" customWidth="1"/>
    <col min="6" max="6" width="26.5703125" customWidth="1"/>
    <col min="7" max="7" width="9.28515625" customWidth="1"/>
    <col min="8" max="8" width="11.7109375" customWidth="1"/>
    <col min="9" max="9" width="11" customWidth="1"/>
    <col min="10" max="10" width="13.42578125" customWidth="1"/>
    <col min="11" max="11" width="15.28515625" customWidth="1"/>
    <col min="12" max="12" width="15.42578125" customWidth="1"/>
    <col min="13" max="13" width="15.5703125" customWidth="1"/>
    <col min="14" max="14" width="16.42578125" customWidth="1"/>
    <col min="15" max="15" width="16.85546875" customWidth="1"/>
    <col min="17" max="17" width="14.28515625" customWidth="1"/>
  </cols>
  <sheetData>
    <row r="1" spans="1:15">
      <c r="A1" s="1029" t="s">
        <v>0</v>
      </c>
      <c r="B1" s="1030"/>
      <c r="C1" s="1030"/>
      <c r="D1" s="1030"/>
      <c r="E1" s="1030"/>
      <c r="F1" s="1030"/>
      <c r="G1" s="1030"/>
      <c r="H1" s="1030"/>
      <c r="I1" s="949" t="s">
        <v>1</v>
      </c>
      <c r="J1" s="969"/>
      <c r="K1" s="954"/>
      <c r="L1" s="953"/>
      <c r="M1" s="953"/>
      <c r="N1" s="950"/>
    </row>
    <row r="2" spans="1:15">
      <c r="A2" s="1034" t="s">
        <v>47</v>
      </c>
      <c r="B2" s="1035"/>
      <c r="C2" s="1035"/>
      <c r="D2" s="1035"/>
      <c r="E2" s="1035"/>
      <c r="F2" s="1035"/>
      <c r="G2" s="1035"/>
      <c r="H2" s="1035"/>
      <c r="I2" s="951" t="s">
        <v>48</v>
      </c>
      <c r="J2" s="969"/>
      <c r="K2" s="954"/>
      <c r="L2" s="954"/>
      <c r="M2" s="954"/>
      <c r="N2" s="952"/>
    </row>
    <row r="3" spans="1:15">
      <c r="A3" s="1039" t="s">
        <v>4</v>
      </c>
      <c r="B3" s="1040"/>
      <c r="C3" s="1040"/>
      <c r="D3" s="1040"/>
      <c r="E3" s="1040"/>
      <c r="F3" s="1040"/>
      <c r="G3" s="1040"/>
      <c r="H3" s="1041"/>
      <c r="I3" s="951" t="s">
        <v>49</v>
      </c>
      <c r="J3" s="969"/>
      <c r="K3" s="954"/>
      <c r="L3" s="954"/>
      <c r="M3" s="954"/>
      <c r="N3" s="952"/>
    </row>
    <row r="4" spans="1:15">
      <c r="A4" s="1042" t="s">
        <v>527</v>
      </c>
      <c r="B4" s="1043"/>
      <c r="C4" s="1043"/>
      <c r="D4" s="1043"/>
      <c r="E4" s="1043"/>
      <c r="F4" s="1043"/>
      <c r="G4" s="1043"/>
      <c r="H4" s="1044"/>
      <c r="I4" s="161"/>
      <c r="J4" s="970"/>
      <c r="K4" s="955"/>
      <c r="L4" s="955"/>
      <c r="M4" s="955"/>
      <c r="N4" s="217"/>
    </row>
    <row r="5" spans="1:15">
      <c r="A5" s="150" t="s">
        <v>5</v>
      </c>
      <c r="B5" s="151"/>
      <c r="C5" s="151"/>
      <c r="D5" s="151"/>
      <c r="E5" s="151" t="s">
        <v>6</v>
      </c>
      <c r="F5" s="151" t="s">
        <v>559</v>
      </c>
      <c r="G5" s="1040" t="s">
        <v>8</v>
      </c>
      <c r="H5" s="1040"/>
      <c r="I5" s="1040"/>
      <c r="J5" s="970"/>
      <c r="K5" s="955"/>
      <c r="L5" s="955"/>
      <c r="M5" s="955"/>
      <c r="N5" s="152"/>
    </row>
    <row r="6" spans="1:15">
      <c r="A6" s="150" t="s">
        <v>9</v>
      </c>
      <c r="B6" s="151"/>
      <c r="C6" s="151"/>
      <c r="D6" s="151"/>
      <c r="E6" s="151" t="s">
        <v>6</v>
      </c>
      <c r="F6" s="151" t="s">
        <v>652</v>
      </c>
      <c r="G6" s="1043" t="s">
        <v>11</v>
      </c>
      <c r="H6" s="1043"/>
      <c r="I6" s="1043"/>
      <c r="J6" s="970"/>
      <c r="K6" s="955"/>
      <c r="L6" s="955"/>
      <c r="M6" s="955"/>
      <c r="N6" s="152"/>
    </row>
    <row r="7" spans="1:15">
      <c r="A7" s="1045" t="s">
        <v>50</v>
      </c>
      <c r="B7" s="1046"/>
      <c r="C7" s="1046"/>
      <c r="D7" s="1046"/>
      <c r="E7" s="1046"/>
      <c r="F7" s="1046"/>
      <c r="G7" s="1046"/>
      <c r="H7" s="1046"/>
      <c r="I7" s="1046"/>
      <c r="J7" s="971"/>
      <c r="K7" s="972"/>
      <c r="L7" s="972"/>
      <c r="M7" s="972"/>
      <c r="N7" s="947"/>
    </row>
    <row r="8" spans="1:15">
      <c r="A8" s="1048" t="s">
        <v>51</v>
      </c>
      <c r="B8" s="1049"/>
      <c r="C8" s="1049"/>
      <c r="D8" s="1049"/>
      <c r="E8" s="1049"/>
      <c r="F8" s="1049"/>
      <c r="G8" s="1049"/>
      <c r="H8" s="1049"/>
      <c r="I8" s="1049"/>
      <c r="J8" s="971"/>
      <c r="K8" s="972"/>
      <c r="L8" s="972"/>
      <c r="M8" s="972"/>
      <c r="N8" s="948"/>
    </row>
    <row r="9" spans="1:15">
      <c r="A9" s="1051" t="s">
        <v>52</v>
      </c>
      <c r="B9" s="1052"/>
      <c r="C9" s="1053" t="s">
        <v>14</v>
      </c>
      <c r="D9" s="1040"/>
      <c r="E9" s="1040"/>
      <c r="F9" s="1041"/>
      <c r="G9" s="163" t="s">
        <v>53</v>
      </c>
      <c r="H9" s="163" t="s">
        <v>54</v>
      </c>
      <c r="I9" s="933" t="s">
        <v>55</v>
      </c>
      <c r="J9" s="1181" t="s">
        <v>56</v>
      </c>
      <c r="K9" s="1182"/>
      <c r="L9" s="1182"/>
      <c r="M9" s="1182"/>
      <c r="N9" s="936" t="s">
        <v>15</v>
      </c>
    </row>
    <row r="10" spans="1:15">
      <c r="A10" s="219" t="s">
        <v>57</v>
      </c>
      <c r="B10" s="163" t="s">
        <v>58</v>
      </c>
      <c r="C10" s="155"/>
      <c r="D10" s="151"/>
      <c r="E10" s="151"/>
      <c r="F10" s="156"/>
      <c r="G10" s="165"/>
      <c r="H10" s="166" t="s">
        <v>59</v>
      </c>
      <c r="I10" s="930" t="s">
        <v>60</v>
      </c>
      <c r="J10" s="973" t="s">
        <v>32</v>
      </c>
      <c r="K10" s="974" t="s">
        <v>33</v>
      </c>
      <c r="L10" s="975" t="s">
        <v>34</v>
      </c>
      <c r="M10" s="975" t="s">
        <v>35</v>
      </c>
      <c r="N10" s="932" t="s">
        <v>61</v>
      </c>
    </row>
    <row r="11" spans="1:15">
      <c r="A11" s="221"/>
      <c r="B11" s="167"/>
      <c r="C11" s="161"/>
      <c r="D11" s="154"/>
      <c r="E11" s="154"/>
      <c r="F11" s="162"/>
      <c r="G11" s="167"/>
      <c r="H11" s="167" t="s">
        <v>62</v>
      </c>
      <c r="I11" s="161"/>
      <c r="J11" s="970"/>
      <c r="K11" s="955"/>
      <c r="L11" s="955"/>
      <c r="M11" s="955"/>
      <c r="N11" s="217"/>
    </row>
    <row r="12" spans="1:15">
      <c r="A12" s="223">
        <v>1</v>
      </c>
      <c r="B12" s="935">
        <v>2</v>
      </c>
      <c r="C12" s="1054">
        <v>3</v>
      </c>
      <c r="D12" s="1055"/>
      <c r="E12" s="1055"/>
      <c r="F12" s="1052"/>
      <c r="G12" s="168">
        <v>4</v>
      </c>
      <c r="H12" s="935">
        <v>5</v>
      </c>
      <c r="I12" s="934">
        <v>6</v>
      </c>
      <c r="J12" s="973">
        <v>7</v>
      </c>
      <c r="K12" s="975">
        <v>8</v>
      </c>
      <c r="L12" s="975">
        <v>9</v>
      </c>
      <c r="M12" s="975">
        <v>10</v>
      </c>
      <c r="N12" s="224">
        <v>11</v>
      </c>
    </row>
    <row r="13" spans="1:15" ht="12.75" customHeight="1">
      <c r="A13" s="150"/>
      <c r="B13" s="164"/>
      <c r="C13" s="151"/>
      <c r="D13" s="151"/>
      <c r="E13" s="151"/>
      <c r="F13" s="151"/>
      <c r="G13" s="164"/>
      <c r="H13" s="151"/>
      <c r="I13" s="956"/>
      <c r="J13" s="970"/>
      <c r="K13" s="955"/>
      <c r="L13" s="955"/>
      <c r="M13" s="955"/>
      <c r="N13" s="152"/>
    </row>
    <row r="14" spans="1:15" ht="24.75" customHeight="1">
      <c r="A14" s="408" t="s">
        <v>842</v>
      </c>
      <c r="B14" s="342"/>
      <c r="C14" s="1071" t="s">
        <v>102</v>
      </c>
      <c r="D14" s="1072"/>
      <c r="E14" s="1072"/>
      <c r="F14" s="1073"/>
      <c r="G14" s="171"/>
      <c r="H14" s="174"/>
      <c r="I14" s="957"/>
      <c r="J14" s="976">
        <f>SUM(J15:J21)</f>
        <v>260000000</v>
      </c>
      <c r="K14" s="977">
        <f>SUM(K15:K21)</f>
        <v>2995000000</v>
      </c>
      <c r="L14" s="977">
        <f>SUM(L15:L21)</f>
        <v>3920000000</v>
      </c>
      <c r="M14" s="977">
        <f>SUM(M15:M21)</f>
        <v>375000000</v>
      </c>
      <c r="N14" s="960">
        <f>SUM(N15:N21)</f>
        <v>7550000000</v>
      </c>
      <c r="O14" s="78"/>
    </row>
    <row r="15" spans="1:15" ht="24.75" customHeight="1">
      <c r="A15" s="221"/>
      <c r="B15" s="342" t="s">
        <v>755</v>
      </c>
      <c r="C15" s="1065" t="s">
        <v>515</v>
      </c>
      <c r="D15" s="1066"/>
      <c r="E15" s="1066"/>
      <c r="F15" s="1067"/>
      <c r="G15" s="171" t="s">
        <v>67</v>
      </c>
      <c r="H15" s="174">
        <v>1</v>
      </c>
      <c r="I15" s="957" t="s">
        <v>68</v>
      </c>
      <c r="J15" s="978">
        <v>125000000</v>
      </c>
      <c r="K15" s="979">
        <v>25000000</v>
      </c>
      <c r="L15" s="979">
        <v>0</v>
      </c>
      <c r="M15" s="979">
        <v>0</v>
      </c>
      <c r="N15" s="961">
        <f t="shared" ref="N15:N21" si="0">SUM(J15:M15)</f>
        <v>150000000</v>
      </c>
      <c r="O15" s="78"/>
    </row>
    <row r="16" spans="1:15" ht="24.75" customHeight="1">
      <c r="A16" s="221"/>
      <c r="B16" s="342" t="s">
        <v>756</v>
      </c>
      <c r="C16" s="1074" t="s">
        <v>758</v>
      </c>
      <c r="D16" s="1075"/>
      <c r="E16" s="1075"/>
      <c r="F16" s="1076"/>
      <c r="G16" s="171" t="s">
        <v>67</v>
      </c>
      <c r="H16" s="174">
        <v>1</v>
      </c>
      <c r="I16" s="957" t="s">
        <v>68</v>
      </c>
      <c r="J16" s="978">
        <v>50000000</v>
      </c>
      <c r="K16" s="979">
        <v>50000000</v>
      </c>
      <c r="L16" s="979">
        <v>0</v>
      </c>
      <c r="M16" s="979">
        <v>0</v>
      </c>
      <c r="N16" s="961">
        <f t="shared" si="0"/>
        <v>100000000</v>
      </c>
      <c r="O16" s="78"/>
    </row>
    <row r="17" spans="1:15" ht="24.75" customHeight="1">
      <c r="A17" s="221"/>
      <c r="B17" s="342" t="s">
        <v>757</v>
      </c>
      <c r="C17" s="1065" t="s">
        <v>655</v>
      </c>
      <c r="D17" s="1066"/>
      <c r="E17" s="1066"/>
      <c r="F17" s="1067"/>
      <c r="G17" s="171" t="s">
        <v>67</v>
      </c>
      <c r="H17" s="174">
        <v>1</v>
      </c>
      <c r="I17" s="957" t="s">
        <v>68</v>
      </c>
      <c r="J17" s="978">
        <v>40000000</v>
      </c>
      <c r="K17" s="979">
        <v>55000000</v>
      </c>
      <c r="L17" s="979">
        <v>5000000</v>
      </c>
      <c r="M17" s="979">
        <v>0</v>
      </c>
      <c r="N17" s="961">
        <f t="shared" si="0"/>
        <v>100000000</v>
      </c>
      <c r="O17" s="78"/>
    </row>
    <row r="18" spans="1:15" ht="24.75" customHeight="1">
      <c r="A18" s="221"/>
      <c r="B18" s="342" t="s">
        <v>760</v>
      </c>
      <c r="C18" s="1065" t="s">
        <v>759</v>
      </c>
      <c r="D18" s="1066"/>
      <c r="E18" s="1066"/>
      <c r="F18" s="1067"/>
      <c r="G18" s="171" t="s">
        <v>67</v>
      </c>
      <c r="H18" s="174">
        <v>1</v>
      </c>
      <c r="I18" s="957" t="s">
        <v>68</v>
      </c>
      <c r="J18" s="978">
        <v>25000000</v>
      </c>
      <c r="K18" s="979">
        <v>25000000</v>
      </c>
      <c r="L18" s="979">
        <v>25000000</v>
      </c>
      <c r="M18" s="979">
        <v>25000000</v>
      </c>
      <c r="N18" s="961">
        <f t="shared" si="0"/>
        <v>100000000</v>
      </c>
      <c r="O18" s="78"/>
    </row>
    <row r="19" spans="1:15" ht="24.75" customHeight="1">
      <c r="A19" s="221"/>
      <c r="B19" s="342" t="s">
        <v>761</v>
      </c>
      <c r="C19" s="1065" t="s">
        <v>763</v>
      </c>
      <c r="D19" s="1066"/>
      <c r="E19" s="1066"/>
      <c r="F19" s="1067"/>
      <c r="G19" s="171" t="s">
        <v>67</v>
      </c>
      <c r="H19" s="174">
        <v>1</v>
      </c>
      <c r="I19" s="957" t="s">
        <v>68</v>
      </c>
      <c r="J19" s="978">
        <v>20000000</v>
      </c>
      <c r="K19" s="979">
        <v>40000000</v>
      </c>
      <c r="L19" s="979">
        <f>K19</f>
        <v>40000000</v>
      </c>
      <c r="M19" s="979">
        <v>0</v>
      </c>
      <c r="N19" s="961">
        <f t="shared" si="0"/>
        <v>100000000</v>
      </c>
      <c r="O19" s="78"/>
    </row>
    <row r="20" spans="1:15" ht="24.75" customHeight="1">
      <c r="A20" s="221"/>
      <c r="B20" s="342" t="s">
        <v>762</v>
      </c>
      <c r="C20" s="1065" t="s">
        <v>764</v>
      </c>
      <c r="D20" s="1066"/>
      <c r="E20" s="1066"/>
      <c r="F20" s="1067"/>
      <c r="G20" s="171" t="s">
        <v>67</v>
      </c>
      <c r="H20" s="174">
        <v>1</v>
      </c>
      <c r="I20" s="957" t="s">
        <v>68</v>
      </c>
      <c r="J20" s="978">
        <v>0</v>
      </c>
      <c r="K20" s="979">
        <v>800000000</v>
      </c>
      <c r="L20" s="979">
        <v>1100000000</v>
      </c>
      <c r="M20" s="979">
        <v>100000000</v>
      </c>
      <c r="N20" s="961">
        <f t="shared" si="0"/>
        <v>2000000000</v>
      </c>
      <c r="O20" s="78"/>
    </row>
    <row r="21" spans="1:15" ht="24.75" customHeight="1">
      <c r="A21" s="221"/>
      <c r="B21" s="342" t="s">
        <v>765</v>
      </c>
      <c r="C21" s="1065" t="s">
        <v>766</v>
      </c>
      <c r="D21" s="1066"/>
      <c r="E21" s="1066"/>
      <c r="F21" s="1067"/>
      <c r="G21" s="171" t="s">
        <v>67</v>
      </c>
      <c r="H21" s="174">
        <v>1</v>
      </c>
      <c r="I21" s="957" t="s">
        <v>68</v>
      </c>
      <c r="J21" s="978">
        <v>0</v>
      </c>
      <c r="K21" s="979">
        <v>2000000000</v>
      </c>
      <c r="L21" s="979">
        <v>2750000000</v>
      </c>
      <c r="M21" s="979">
        <v>250000000</v>
      </c>
      <c r="N21" s="961">
        <f t="shared" si="0"/>
        <v>5000000000</v>
      </c>
      <c r="O21" s="78"/>
    </row>
    <row r="22" spans="1:15">
      <c r="A22" s="228" t="s">
        <v>841</v>
      </c>
      <c r="B22" s="342"/>
      <c r="C22" s="1071" t="s">
        <v>658</v>
      </c>
      <c r="D22" s="1072"/>
      <c r="E22" s="1072"/>
      <c r="F22" s="1073"/>
      <c r="G22" s="365"/>
      <c r="H22" s="366"/>
      <c r="I22" s="958"/>
      <c r="J22" s="976">
        <f>SUM(J23:J28)</f>
        <v>100000000</v>
      </c>
      <c r="K22" s="977">
        <f>SUM(K23:K28)</f>
        <v>600000000</v>
      </c>
      <c r="L22" s="977">
        <f>SUM(L23:L28)</f>
        <v>25000000</v>
      </c>
      <c r="M22" s="977">
        <f>SUM(M23:M28)</f>
        <v>0</v>
      </c>
      <c r="N22" s="962">
        <f>N23+N24+N26++N27+N28+N25</f>
        <v>725000000</v>
      </c>
      <c r="O22" s="78"/>
    </row>
    <row r="23" spans="1:15" ht="21.75" customHeight="1">
      <c r="A23" s="221"/>
      <c r="B23" s="342" t="s">
        <v>659</v>
      </c>
      <c r="C23" s="1065" t="s">
        <v>660</v>
      </c>
      <c r="D23" s="1066"/>
      <c r="E23" s="1066"/>
      <c r="F23" s="1067"/>
      <c r="G23" s="171" t="s">
        <v>67</v>
      </c>
      <c r="H23" s="174">
        <v>1</v>
      </c>
      <c r="I23" s="957" t="s">
        <v>68</v>
      </c>
      <c r="J23" s="978">
        <v>0</v>
      </c>
      <c r="K23" s="979">
        <v>50000000</v>
      </c>
      <c r="L23" s="979">
        <v>0</v>
      </c>
      <c r="M23" s="979">
        <v>0</v>
      </c>
      <c r="N23" s="961">
        <f t="shared" ref="N23:N28" si="1">J23+K23+L23+M23</f>
        <v>50000000</v>
      </c>
      <c r="O23" s="78"/>
    </row>
    <row r="24" spans="1:15" ht="27.75" customHeight="1">
      <c r="A24" s="221"/>
      <c r="B24" s="342" t="s">
        <v>653</v>
      </c>
      <c r="C24" s="1065" t="s">
        <v>661</v>
      </c>
      <c r="D24" s="1066"/>
      <c r="E24" s="1066"/>
      <c r="F24" s="1067"/>
      <c r="G24" s="171" t="s">
        <v>67</v>
      </c>
      <c r="H24" s="174">
        <v>1</v>
      </c>
      <c r="I24" s="957" t="s">
        <v>68</v>
      </c>
      <c r="J24" s="978">
        <v>0</v>
      </c>
      <c r="K24" s="979">
        <v>200000000</v>
      </c>
      <c r="L24" s="979">
        <v>0</v>
      </c>
      <c r="M24" s="979">
        <v>0</v>
      </c>
      <c r="N24" s="961">
        <f t="shared" si="1"/>
        <v>200000000</v>
      </c>
      <c r="O24" s="78"/>
    </row>
    <row r="25" spans="1:15" ht="24" customHeight="1">
      <c r="A25" s="221"/>
      <c r="B25" s="342" t="s">
        <v>514</v>
      </c>
      <c r="C25" s="1065" t="s">
        <v>662</v>
      </c>
      <c r="D25" s="1066"/>
      <c r="E25" s="1066"/>
      <c r="F25" s="1067"/>
      <c r="G25" s="171" t="s">
        <v>67</v>
      </c>
      <c r="H25" s="174">
        <v>1</v>
      </c>
      <c r="I25" s="957" t="s">
        <v>68</v>
      </c>
      <c r="J25" s="978">
        <v>0</v>
      </c>
      <c r="K25" s="979">
        <v>0</v>
      </c>
      <c r="L25" s="979">
        <v>25000000</v>
      </c>
      <c r="M25" s="979">
        <v>0</v>
      </c>
      <c r="N25" s="961">
        <f t="shared" si="1"/>
        <v>25000000</v>
      </c>
      <c r="O25" s="78"/>
    </row>
    <row r="26" spans="1:15" ht="22.5" customHeight="1">
      <c r="A26" s="221"/>
      <c r="B26" s="342" t="s">
        <v>654</v>
      </c>
      <c r="C26" s="1065" t="s">
        <v>663</v>
      </c>
      <c r="D26" s="1066"/>
      <c r="E26" s="1066"/>
      <c r="F26" s="1067"/>
      <c r="G26" s="171" t="s">
        <v>67</v>
      </c>
      <c r="H26" s="174">
        <v>1</v>
      </c>
      <c r="I26" s="957" t="s">
        <v>68</v>
      </c>
      <c r="J26" s="978">
        <v>100000000</v>
      </c>
      <c r="K26" s="979">
        <v>0</v>
      </c>
      <c r="L26" s="979">
        <v>0</v>
      </c>
      <c r="M26" s="979">
        <v>0</v>
      </c>
      <c r="N26" s="961">
        <f t="shared" si="1"/>
        <v>100000000</v>
      </c>
      <c r="O26" s="78"/>
    </row>
    <row r="27" spans="1:15" ht="22.5" customHeight="1">
      <c r="A27" s="221"/>
      <c r="B27" s="342" t="s">
        <v>656</v>
      </c>
      <c r="C27" s="1065" t="s">
        <v>664</v>
      </c>
      <c r="D27" s="1066"/>
      <c r="E27" s="1066"/>
      <c r="F27" s="1067"/>
      <c r="G27" s="171" t="s">
        <v>67</v>
      </c>
      <c r="H27" s="174">
        <v>1</v>
      </c>
      <c r="I27" s="957" t="s">
        <v>68</v>
      </c>
      <c r="J27" s="978">
        <v>0</v>
      </c>
      <c r="K27" s="979">
        <v>150000000</v>
      </c>
      <c r="L27" s="979">
        <v>0</v>
      </c>
      <c r="M27" s="979">
        <v>0</v>
      </c>
      <c r="N27" s="961">
        <f t="shared" si="1"/>
        <v>150000000</v>
      </c>
      <c r="O27" s="78"/>
    </row>
    <row r="28" spans="1:15" ht="37.5" customHeight="1" thickBot="1">
      <c r="A28" s="221"/>
      <c r="B28" s="342" t="s">
        <v>657</v>
      </c>
      <c r="C28" s="1065" t="s">
        <v>665</v>
      </c>
      <c r="D28" s="1066"/>
      <c r="E28" s="1066"/>
      <c r="F28" s="1067"/>
      <c r="G28" s="171" t="s">
        <v>67</v>
      </c>
      <c r="H28" s="174">
        <v>1</v>
      </c>
      <c r="I28" s="957" t="s">
        <v>68</v>
      </c>
      <c r="J28" s="978">
        <v>0</v>
      </c>
      <c r="K28" s="979">
        <v>200000000</v>
      </c>
      <c r="L28" s="979">
        <v>0</v>
      </c>
      <c r="M28" s="979">
        <v>0</v>
      </c>
      <c r="N28" s="961">
        <f t="shared" si="1"/>
        <v>200000000</v>
      </c>
      <c r="O28" s="78"/>
    </row>
    <row r="29" spans="1:15" ht="25.5" customHeight="1">
      <c r="A29" s="415" t="s">
        <v>103</v>
      </c>
      <c r="B29" s="416"/>
      <c r="C29" s="1084" t="s">
        <v>104</v>
      </c>
      <c r="D29" s="1085"/>
      <c r="E29" s="1085"/>
      <c r="F29" s="1086"/>
      <c r="G29" s="417" t="s">
        <v>67</v>
      </c>
      <c r="H29" s="418">
        <v>1</v>
      </c>
      <c r="I29" s="959" t="s">
        <v>68</v>
      </c>
      <c r="J29" s="980">
        <f>SUM(J30:J39)</f>
        <v>25000000</v>
      </c>
      <c r="K29" s="981">
        <f>SUM(K30:K39)</f>
        <v>505000000</v>
      </c>
      <c r="L29" s="981">
        <f>SUM(L30:L39)</f>
        <v>740000000</v>
      </c>
      <c r="M29" s="981">
        <f>SUM(M30:M39)</f>
        <v>5000000</v>
      </c>
      <c r="N29" s="963">
        <f>SUM(N30:N39)</f>
        <v>1275000000</v>
      </c>
      <c r="O29" s="78"/>
    </row>
    <row r="30" spans="1:15" ht="25.5" customHeight="1">
      <c r="A30" s="180"/>
      <c r="B30" s="179" t="s">
        <v>666</v>
      </c>
      <c r="C30" s="1065" t="s">
        <v>674</v>
      </c>
      <c r="D30" s="1066"/>
      <c r="E30" s="1066"/>
      <c r="F30" s="1067"/>
      <c r="G30" s="171" t="s">
        <v>67</v>
      </c>
      <c r="H30" s="174">
        <v>1</v>
      </c>
      <c r="I30" s="957" t="s">
        <v>68</v>
      </c>
      <c r="J30" s="982">
        <v>0</v>
      </c>
      <c r="K30" s="979">
        <v>50000000</v>
      </c>
      <c r="L30" s="979">
        <v>0</v>
      </c>
      <c r="M30" s="979">
        <v>0</v>
      </c>
      <c r="N30" s="964">
        <f>J30+K30+L30+M30</f>
        <v>50000000</v>
      </c>
      <c r="O30" s="78"/>
    </row>
    <row r="31" spans="1:15" ht="39" customHeight="1">
      <c r="A31" s="180"/>
      <c r="B31" s="169" t="s">
        <v>516</v>
      </c>
      <c r="C31" s="1065" t="s">
        <v>675</v>
      </c>
      <c r="D31" s="1066"/>
      <c r="E31" s="1066"/>
      <c r="F31" s="1067"/>
      <c r="G31" s="171" t="s">
        <v>67</v>
      </c>
      <c r="H31" s="172">
        <v>1</v>
      </c>
      <c r="I31" s="957" t="s">
        <v>68</v>
      </c>
      <c r="J31" s="983">
        <v>0</v>
      </c>
      <c r="K31" s="984">
        <v>0</v>
      </c>
      <c r="L31" s="984">
        <v>50000000</v>
      </c>
      <c r="M31" s="984">
        <f>-M30</f>
        <v>0</v>
      </c>
      <c r="N31" s="964">
        <f t="shared" ref="N31:N39" si="2">J31+K31+L31+M31</f>
        <v>50000000</v>
      </c>
      <c r="O31" s="78"/>
    </row>
    <row r="32" spans="1:15" ht="22.5" customHeight="1">
      <c r="A32" s="180"/>
      <c r="B32" s="169" t="s">
        <v>667</v>
      </c>
      <c r="C32" s="1077" t="s">
        <v>676</v>
      </c>
      <c r="D32" s="1077"/>
      <c r="E32" s="1077"/>
      <c r="F32" s="1077"/>
      <c r="G32" s="171" t="s">
        <v>67</v>
      </c>
      <c r="H32" s="172">
        <v>1</v>
      </c>
      <c r="I32" s="957" t="s">
        <v>68</v>
      </c>
      <c r="J32" s="983">
        <v>0</v>
      </c>
      <c r="K32" s="984">
        <v>0</v>
      </c>
      <c r="L32" s="984">
        <v>100000000</v>
      </c>
      <c r="M32" s="984">
        <v>0</v>
      </c>
      <c r="N32" s="964">
        <f t="shared" si="2"/>
        <v>100000000</v>
      </c>
      <c r="O32" s="78"/>
    </row>
    <row r="33" spans="1:15" ht="22.5" customHeight="1">
      <c r="A33" s="180"/>
      <c r="B33" s="169" t="s">
        <v>668</v>
      </c>
      <c r="C33" s="1077" t="s">
        <v>677</v>
      </c>
      <c r="D33" s="1077"/>
      <c r="E33" s="1077"/>
      <c r="F33" s="1077"/>
      <c r="G33" s="171" t="s">
        <v>67</v>
      </c>
      <c r="H33" s="172">
        <v>1</v>
      </c>
      <c r="I33" s="957" t="s">
        <v>68</v>
      </c>
      <c r="J33" s="983">
        <v>25000000</v>
      </c>
      <c r="K33" s="984">
        <v>0</v>
      </c>
      <c r="L33" s="984">
        <v>0</v>
      </c>
      <c r="M33" s="984">
        <v>0</v>
      </c>
      <c r="N33" s="964">
        <f t="shared" si="2"/>
        <v>25000000</v>
      </c>
      <c r="O33" s="78"/>
    </row>
    <row r="34" spans="1:15" ht="22.5" customHeight="1">
      <c r="A34" s="180"/>
      <c r="B34" s="169" t="s">
        <v>669</v>
      </c>
      <c r="C34" s="1065" t="s">
        <v>678</v>
      </c>
      <c r="D34" s="1066"/>
      <c r="E34" s="1066"/>
      <c r="F34" s="1067"/>
      <c r="G34" s="171" t="s">
        <v>67</v>
      </c>
      <c r="H34" s="172">
        <v>1</v>
      </c>
      <c r="I34" s="957" t="s">
        <v>68</v>
      </c>
      <c r="J34" s="983">
        <v>0</v>
      </c>
      <c r="K34" s="984">
        <v>200000000</v>
      </c>
      <c r="L34" s="984">
        <v>0</v>
      </c>
      <c r="M34" s="984">
        <v>0</v>
      </c>
      <c r="N34" s="964">
        <f t="shared" si="2"/>
        <v>200000000</v>
      </c>
      <c r="O34" s="78"/>
    </row>
    <row r="35" spans="1:15" ht="22.5" customHeight="1">
      <c r="A35" s="180"/>
      <c r="B35" s="169" t="s">
        <v>670</v>
      </c>
      <c r="C35" s="1065" t="s">
        <v>679</v>
      </c>
      <c r="D35" s="1066"/>
      <c r="E35" s="1066"/>
      <c r="F35" s="1067"/>
      <c r="G35" s="171" t="s">
        <v>67</v>
      </c>
      <c r="H35" s="172">
        <v>1</v>
      </c>
      <c r="I35" s="957" t="s">
        <v>68</v>
      </c>
      <c r="J35" s="983">
        <v>0</v>
      </c>
      <c r="K35" s="984">
        <v>0</v>
      </c>
      <c r="L35" s="984">
        <v>150000000</v>
      </c>
      <c r="M35" s="984">
        <v>0</v>
      </c>
      <c r="N35" s="964">
        <f t="shared" si="2"/>
        <v>150000000</v>
      </c>
      <c r="O35" s="78"/>
    </row>
    <row r="36" spans="1:15" ht="22.5" customHeight="1">
      <c r="A36" s="180"/>
      <c r="B36" s="169" t="s">
        <v>671</v>
      </c>
      <c r="C36" s="1065" t="s">
        <v>680</v>
      </c>
      <c r="D36" s="1066"/>
      <c r="E36" s="1066"/>
      <c r="F36" s="1067"/>
      <c r="G36" s="171" t="s">
        <v>67</v>
      </c>
      <c r="H36" s="172">
        <v>1</v>
      </c>
      <c r="I36" s="957" t="s">
        <v>68</v>
      </c>
      <c r="J36" s="983">
        <v>0</v>
      </c>
      <c r="K36" s="984">
        <v>200000000</v>
      </c>
      <c r="L36" s="984">
        <v>0</v>
      </c>
      <c r="M36" s="984">
        <v>0</v>
      </c>
      <c r="N36" s="964">
        <f t="shared" si="2"/>
        <v>200000000</v>
      </c>
      <c r="O36" s="78"/>
    </row>
    <row r="37" spans="1:15" ht="22.5" customHeight="1">
      <c r="A37" s="180"/>
      <c r="B37" s="169" t="s">
        <v>672</v>
      </c>
      <c r="C37" s="1065" t="s">
        <v>681</v>
      </c>
      <c r="D37" s="1066"/>
      <c r="E37" s="1066"/>
      <c r="F37" s="1067"/>
      <c r="G37" s="171" t="s">
        <v>67</v>
      </c>
      <c r="H37" s="172">
        <v>1</v>
      </c>
      <c r="I37" s="957" t="s">
        <v>68</v>
      </c>
      <c r="J37" s="983">
        <v>0</v>
      </c>
      <c r="K37" s="984">
        <v>0</v>
      </c>
      <c r="L37" s="984">
        <v>200000000</v>
      </c>
      <c r="M37" s="984">
        <v>0</v>
      </c>
      <c r="N37" s="964">
        <f t="shared" si="2"/>
        <v>200000000</v>
      </c>
      <c r="O37" s="78"/>
    </row>
    <row r="38" spans="1:15" ht="22.5" customHeight="1">
      <c r="A38" s="180"/>
      <c r="B38" s="169" t="s">
        <v>673</v>
      </c>
      <c r="C38" s="1065" t="s">
        <v>682</v>
      </c>
      <c r="D38" s="1066"/>
      <c r="E38" s="1066"/>
      <c r="F38" s="1067"/>
      <c r="G38" s="171" t="s">
        <v>67</v>
      </c>
      <c r="H38" s="172">
        <v>1</v>
      </c>
      <c r="I38" s="957" t="s">
        <v>68</v>
      </c>
      <c r="J38" s="983">
        <v>0</v>
      </c>
      <c r="K38" s="984">
        <v>15000000</v>
      </c>
      <c r="L38" s="984">
        <v>185000000</v>
      </c>
      <c r="M38" s="984">
        <v>0</v>
      </c>
      <c r="N38" s="964">
        <f t="shared" si="2"/>
        <v>200000000</v>
      </c>
      <c r="O38" s="78"/>
    </row>
    <row r="39" spans="1:15" ht="22.5" customHeight="1">
      <c r="A39" s="180"/>
      <c r="B39" s="169" t="s">
        <v>715</v>
      </c>
      <c r="C39" s="1065" t="s">
        <v>716</v>
      </c>
      <c r="D39" s="1066"/>
      <c r="E39" s="1066"/>
      <c r="F39" s="1067"/>
      <c r="G39" s="171" t="s">
        <v>67</v>
      </c>
      <c r="H39" s="172">
        <v>1</v>
      </c>
      <c r="I39" s="957" t="s">
        <v>68</v>
      </c>
      <c r="J39" s="983"/>
      <c r="K39" s="984">
        <v>40000000</v>
      </c>
      <c r="L39" s="984">
        <v>55000000</v>
      </c>
      <c r="M39" s="984">
        <v>5000000</v>
      </c>
      <c r="N39" s="964">
        <f t="shared" si="2"/>
        <v>100000000</v>
      </c>
      <c r="O39" s="78"/>
    </row>
    <row r="40" spans="1:15" ht="22.5" customHeight="1">
      <c r="A40" s="225" t="s">
        <v>683</v>
      </c>
      <c r="B40" s="169"/>
      <c r="C40" s="1071" t="s">
        <v>684</v>
      </c>
      <c r="D40" s="1072"/>
      <c r="E40" s="1072"/>
      <c r="F40" s="1073"/>
      <c r="G40" s="171" t="s">
        <v>67</v>
      </c>
      <c r="H40" s="172">
        <v>1</v>
      </c>
      <c r="I40" s="957" t="s">
        <v>68</v>
      </c>
      <c r="J40" s="985">
        <f>J41+J42+J43</f>
        <v>92500000</v>
      </c>
      <c r="K40" s="986">
        <f>K41+K42+K43</f>
        <v>207500000</v>
      </c>
      <c r="L40" s="986">
        <f>L41+L42+L43</f>
        <v>0</v>
      </c>
      <c r="M40" s="986">
        <f>M41+M42+M43</f>
        <v>0</v>
      </c>
      <c r="N40" s="965">
        <f>N41+N42+N43</f>
        <v>300000000</v>
      </c>
      <c r="O40" s="78"/>
    </row>
    <row r="41" spans="1:15" ht="23.25" customHeight="1">
      <c r="A41" s="180"/>
      <c r="B41" s="169" t="s">
        <v>688</v>
      </c>
      <c r="C41" s="1065" t="s">
        <v>685</v>
      </c>
      <c r="D41" s="1066"/>
      <c r="E41" s="1066"/>
      <c r="F41" s="1067"/>
      <c r="G41" s="171" t="s">
        <v>67</v>
      </c>
      <c r="H41" s="172">
        <v>1</v>
      </c>
      <c r="I41" s="957" t="s">
        <v>68</v>
      </c>
      <c r="J41" s="983">
        <v>42500000</v>
      </c>
      <c r="K41" s="984">
        <v>7500000</v>
      </c>
      <c r="L41" s="984">
        <v>0</v>
      </c>
      <c r="M41" s="984">
        <v>0</v>
      </c>
      <c r="N41" s="966">
        <f>J41+K41+L41+M41</f>
        <v>50000000</v>
      </c>
      <c r="O41" s="78"/>
    </row>
    <row r="42" spans="1:15" ht="24" customHeight="1">
      <c r="A42" s="180"/>
      <c r="B42" s="169" t="s">
        <v>689</v>
      </c>
      <c r="C42" s="1065" t="s">
        <v>686</v>
      </c>
      <c r="D42" s="1066"/>
      <c r="E42" s="1066"/>
      <c r="F42" s="1067"/>
      <c r="G42" s="171" t="s">
        <v>67</v>
      </c>
      <c r="H42" s="172">
        <v>1</v>
      </c>
      <c r="I42" s="957" t="s">
        <v>68</v>
      </c>
      <c r="J42" s="983">
        <v>50000000</v>
      </c>
      <c r="K42" s="984">
        <v>0</v>
      </c>
      <c r="L42" s="984">
        <v>0</v>
      </c>
      <c r="M42" s="984">
        <v>0</v>
      </c>
      <c r="N42" s="966">
        <f>J42+K42+L42+M42</f>
        <v>50000000</v>
      </c>
      <c r="O42" s="78"/>
    </row>
    <row r="43" spans="1:15" ht="26.25" customHeight="1">
      <c r="A43" s="180"/>
      <c r="B43" s="169" t="s">
        <v>690</v>
      </c>
      <c r="C43" s="1065" t="s">
        <v>687</v>
      </c>
      <c r="D43" s="1066"/>
      <c r="E43" s="1066"/>
      <c r="F43" s="1067"/>
      <c r="G43" s="171" t="s">
        <v>67</v>
      </c>
      <c r="H43" s="172">
        <v>1</v>
      </c>
      <c r="I43" s="957" t="s">
        <v>68</v>
      </c>
      <c r="J43" s="983">
        <v>0</v>
      </c>
      <c r="K43" s="984">
        <v>200000000</v>
      </c>
      <c r="L43" s="984">
        <v>0</v>
      </c>
      <c r="M43" s="984">
        <v>0</v>
      </c>
      <c r="N43" s="967">
        <f>J43+K43+L43+M43</f>
        <v>200000000</v>
      </c>
      <c r="O43" s="78"/>
    </row>
    <row r="44" spans="1:15" ht="22.5" customHeight="1">
      <c r="A44" s="225" t="s">
        <v>517</v>
      </c>
      <c r="B44" s="171"/>
      <c r="C44" s="1057" t="s">
        <v>518</v>
      </c>
      <c r="D44" s="1057"/>
      <c r="E44" s="1057"/>
      <c r="F44" s="1057"/>
      <c r="G44" s="171"/>
      <c r="H44" s="172"/>
      <c r="I44" s="957"/>
      <c r="J44" s="985">
        <f>J45+J46</f>
        <v>0</v>
      </c>
      <c r="K44" s="986">
        <f>K45+K46</f>
        <v>200000000</v>
      </c>
      <c r="L44" s="986">
        <f>L45+L46</f>
        <v>0</v>
      </c>
      <c r="M44" s="986">
        <f>M45+M46</f>
        <v>0</v>
      </c>
      <c r="N44" s="965">
        <f>N45+N46</f>
        <v>200000000</v>
      </c>
      <c r="O44" s="78"/>
    </row>
    <row r="45" spans="1:15" ht="21" customHeight="1">
      <c r="A45" s="180"/>
      <c r="B45" s="169" t="s">
        <v>692</v>
      </c>
      <c r="C45" s="1088" t="s">
        <v>691</v>
      </c>
      <c r="D45" s="1088"/>
      <c r="E45" s="1088"/>
      <c r="F45" s="1088"/>
      <c r="G45" s="171" t="s">
        <v>67</v>
      </c>
      <c r="H45" s="172">
        <v>1</v>
      </c>
      <c r="I45" s="957" t="s">
        <v>68</v>
      </c>
      <c r="J45" s="978">
        <v>0</v>
      </c>
      <c r="K45" s="979">
        <v>100000000</v>
      </c>
      <c r="L45" s="979">
        <v>0</v>
      </c>
      <c r="M45" s="979">
        <v>0</v>
      </c>
      <c r="N45" s="967">
        <f>J45+K45+L45+M45</f>
        <v>100000000</v>
      </c>
      <c r="O45" s="78"/>
    </row>
    <row r="46" spans="1:15" ht="24.75" customHeight="1">
      <c r="A46" s="180"/>
      <c r="B46" s="169" t="s">
        <v>693</v>
      </c>
      <c r="C46" s="1065" t="s">
        <v>694</v>
      </c>
      <c r="D46" s="1066"/>
      <c r="E46" s="1066"/>
      <c r="F46" s="1067"/>
      <c r="G46" s="171" t="s">
        <v>67</v>
      </c>
      <c r="H46" s="172">
        <v>1</v>
      </c>
      <c r="I46" s="957" t="s">
        <v>68</v>
      </c>
      <c r="J46" s="978">
        <v>0</v>
      </c>
      <c r="K46" s="979">
        <v>100000000</v>
      </c>
      <c r="L46" s="979">
        <v>0</v>
      </c>
      <c r="M46" s="979">
        <v>0</v>
      </c>
      <c r="N46" s="967">
        <f>J46+K46+L46+M46</f>
        <v>100000000</v>
      </c>
      <c r="O46" s="78"/>
    </row>
    <row r="47" spans="1:15" ht="21" customHeight="1">
      <c r="A47" s="180"/>
      <c r="B47" s="171"/>
      <c r="C47" s="1054"/>
      <c r="D47" s="1055"/>
      <c r="E47" s="1055"/>
      <c r="F47" s="1052"/>
      <c r="G47" s="171"/>
      <c r="H47" s="171"/>
      <c r="I47" s="444"/>
      <c r="J47" s="970"/>
      <c r="K47" s="955"/>
      <c r="L47" s="955"/>
      <c r="M47" s="955"/>
      <c r="N47" s="967"/>
    </row>
    <row r="48" spans="1:15" ht="30.75" customHeight="1">
      <c r="A48" s="182"/>
      <c r="B48" s="183"/>
      <c r="C48" s="183"/>
      <c r="D48" s="183"/>
      <c r="E48" s="183"/>
      <c r="F48" s="183"/>
      <c r="G48" s="183"/>
      <c r="H48" s="183"/>
      <c r="I48" s="988"/>
      <c r="J48" s="987">
        <f>J29+J14+J22+J40</f>
        <v>477500000</v>
      </c>
      <c r="K48" s="987">
        <f>K29+K14+K2+K40+K44</f>
        <v>3907500000</v>
      </c>
      <c r="L48" s="987">
        <f>L29+L14+L22+L40</f>
        <v>4685000000</v>
      </c>
      <c r="M48" s="987">
        <f>M29+M14+M22+M40</f>
        <v>380000000</v>
      </c>
      <c r="N48" s="968">
        <f>J48+K48+L48+M48</f>
        <v>9450000000</v>
      </c>
    </row>
    <row r="49" spans="1:17">
      <c r="A49" s="150"/>
      <c r="B49" s="151"/>
      <c r="C49" s="151"/>
      <c r="D49" s="151"/>
      <c r="E49" s="151"/>
      <c r="F49" s="151"/>
      <c r="G49" s="1053"/>
      <c r="H49" s="1040"/>
      <c r="I49" s="1040"/>
      <c r="J49" s="1037"/>
      <c r="K49" s="1037"/>
      <c r="L49" s="1037"/>
      <c r="M49" s="1037"/>
      <c r="N49" s="1089"/>
      <c r="Q49" s="78">
        <v>1970186000</v>
      </c>
    </row>
    <row r="50" spans="1:17">
      <c r="A50" s="150" t="s">
        <v>105</v>
      </c>
      <c r="B50" s="151"/>
      <c r="C50" s="151"/>
      <c r="D50" s="151"/>
      <c r="E50" s="151"/>
      <c r="F50" s="151"/>
      <c r="G50" s="1036" t="s">
        <v>836</v>
      </c>
      <c r="H50" s="1037"/>
      <c r="I50" s="1037"/>
      <c r="J50" s="1037"/>
      <c r="K50" s="1037"/>
      <c r="L50" s="1037"/>
      <c r="M50" s="1037"/>
      <c r="N50" s="1038"/>
      <c r="Q50" s="78" t="e">
        <f>#REF!+Q49</f>
        <v>#REF!</v>
      </c>
    </row>
    <row r="51" spans="1:17">
      <c r="A51" s="150" t="s">
        <v>106</v>
      </c>
      <c r="B51" s="151"/>
      <c r="C51" s="151" t="s">
        <v>17</v>
      </c>
      <c r="D51" s="1087">
        <v>593373000</v>
      </c>
      <c r="E51" s="1087"/>
      <c r="F51" s="151"/>
      <c r="G51" s="1036" t="s">
        <v>585</v>
      </c>
      <c r="H51" s="1037"/>
      <c r="I51" s="1037"/>
      <c r="J51" s="1037"/>
      <c r="K51" s="1037"/>
      <c r="L51" s="1037"/>
      <c r="M51" s="1037"/>
      <c r="N51" s="1038"/>
    </row>
    <row r="52" spans="1:17">
      <c r="A52" s="150" t="s">
        <v>107</v>
      </c>
      <c r="B52" s="151"/>
      <c r="C52" s="151" t="s">
        <v>17</v>
      </c>
      <c r="D52" s="1087">
        <v>4649694000</v>
      </c>
      <c r="E52" s="1087"/>
      <c r="F52" s="151"/>
      <c r="G52" s="930"/>
      <c r="H52" s="931"/>
      <c r="I52" s="931"/>
      <c r="J52" s="931"/>
      <c r="K52" s="1037" t="s">
        <v>537</v>
      </c>
      <c r="L52" s="1037"/>
      <c r="M52" s="931"/>
      <c r="N52" s="932"/>
    </row>
    <row r="53" spans="1:17">
      <c r="A53" s="150" t="s">
        <v>108</v>
      </c>
      <c r="B53" s="151"/>
      <c r="C53" s="151" t="s">
        <v>17</v>
      </c>
      <c r="D53" s="1087">
        <v>4787121850</v>
      </c>
      <c r="E53" s="1087"/>
      <c r="F53" s="151"/>
      <c r="G53" s="930"/>
      <c r="H53" s="931"/>
      <c r="I53" s="931"/>
      <c r="J53" s="931"/>
      <c r="K53" s="931"/>
      <c r="L53" s="931"/>
      <c r="M53" s="931"/>
      <c r="N53" s="932"/>
      <c r="Q53" s="78">
        <f>J48+K48+L48+M48</f>
        <v>9450000000</v>
      </c>
    </row>
    <row r="54" spans="1:17">
      <c r="A54" s="150" t="s">
        <v>109</v>
      </c>
      <c r="B54" s="151"/>
      <c r="C54" s="153" t="s">
        <v>17</v>
      </c>
      <c r="D54" s="1091">
        <v>474421150</v>
      </c>
      <c r="E54" s="1091"/>
      <c r="F54" s="151"/>
      <c r="G54" s="930"/>
      <c r="H54" s="931"/>
      <c r="I54" s="931"/>
      <c r="J54" s="931"/>
      <c r="K54" s="931"/>
      <c r="L54" s="931"/>
      <c r="M54" s="931"/>
      <c r="N54" s="932"/>
    </row>
    <row r="55" spans="1:17">
      <c r="A55" s="1098" t="s">
        <v>110</v>
      </c>
      <c r="B55" s="1037"/>
      <c r="C55" s="153" t="s">
        <v>17</v>
      </c>
      <c r="D55" s="1099">
        <f>SUM(D51:E54)</f>
        <v>10504610000</v>
      </c>
      <c r="E55" s="1099"/>
      <c r="F55" s="151"/>
      <c r="G55" s="1095" t="s">
        <v>192</v>
      </c>
      <c r="H55" s="1096"/>
      <c r="I55" s="1096"/>
      <c r="J55" s="1096"/>
      <c r="K55" s="1096"/>
      <c r="L55" s="1096"/>
      <c r="M55" s="1096"/>
      <c r="N55" s="1097"/>
    </row>
    <row r="56" spans="1:17">
      <c r="A56" s="150"/>
      <c r="B56" s="151"/>
      <c r="C56" s="151"/>
      <c r="D56" s="151"/>
      <c r="E56" s="151"/>
      <c r="F56" s="151"/>
      <c r="G56" s="1092" t="s">
        <v>837</v>
      </c>
      <c r="H56" s="1043"/>
      <c r="I56" s="1043"/>
      <c r="J56" s="1043"/>
      <c r="K56" s="1043"/>
      <c r="L56" s="1043"/>
      <c r="M56" s="1043"/>
      <c r="N56" s="1093"/>
    </row>
    <row r="57" spans="1:17">
      <c r="A57" s="1054" t="s">
        <v>521</v>
      </c>
      <c r="B57" s="1055"/>
      <c r="C57" s="1055"/>
      <c r="D57" s="1055"/>
      <c r="E57" s="1055"/>
      <c r="F57" s="1052"/>
      <c r="G57" s="1094" t="s">
        <v>838</v>
      </c>
      <c r="H57" s="1040"/>
      <c r="I57" s="1040"/>
      <c r="J57" s="1040"/>
      <c r="K57" s="1040"/>
      <c r="L57" s="1040"/>
      <c r="M57" s="1040"/>
      <c r="N57" s="1089"/>
    </row>
    <row r="58" spans="1:17">
      <c r="A58" s="150"/>
      <c r="B58" s="151"/>
      <c r="C58" s="151"/>
      <c r="D58" s="151"/>
      <c r="E58" s="151"/>
      <c r="F58" s="151"/>
      <c r="G58" s="1036" t="s">
        <v>114</v>
      </c>
      <c r="H58" s="1037"/>
      <c r="I58" s="1037"/>
      <c r="J58" s="1037"/>
      <c r="K58" s="1037"/>
      <c r="L58" s="1037"/>
      <c r="M58" s="1037"/>
      <c r="N58" s="1038"/>
    </row>
    <row r="59" spans="1:17">
      <c r="A59" s="157">
        <v>1</v>
      </c>
      <c r="B59" s="151" t="s">
        <v>460</v>
      </c>
      <c r="C59" s="151"/>
      <c r="D59" s="151" t="s">
        <v>523</v>
      </c>
      <c r="E59" s="937"/>
      <c r="F59" s="151"/>
      <c r="G59" s="155"/>
      <c r="H59" s="151"/>
      <c r="I59" s="151"/>
      <c r="J59" s="151"/>
      <c r="K59" s="151"/>
      <c r="L59" s="151"/>
      <c r="M59" s="151"/>
      <c r="N59" s="186"/>
    </row>
    <row r="60" spans="1:17">
      <c r="A60" s="150"/>
      <c r="B60" s="151"/>
      <c r="C60" s="151"/>
      <c r="D60" s="151"/>
      <c r="E60" s="151"/>
      <c r="F60" s="151"/>
      <c r="G60" s="155"/>
      <c r="H60" s="151"/>
      <c r="I60" s="151"/>
      <c r="J60" s="151"/>
      <c r="K60" s="151"/>
      <c r="L60" s="151"/>
      <c r="M60" s="151"/>
      <c r="N60" s="186"/>
    </row>
    <row r="61" spans="1:17">
      <c r="A61" s="150">
        <v>2</v>
      </c>
      <c r="B61" s="151" t="s">
        <v>522</v>
      </c>
      <c r="C61" s="151"/>
      <c r="D61" s="151"/>
      <c r="E61" s="151" t="s">
        <v>524</v>
      </c>
      <c r="F61" s="937"/>
      <c r="G61" s="155"/>
      <c r="H61" s="151"/>
      <c r="I61" s="151"/>
      <c r="J61" s="151"/>
      <c r="K61" s="151"/>
      <c r="L61" s="151"/>
      <c r="M61" s="151"/>
      <c r="N61" s="186"/>
    </row>
    <row r="62" spans="1:17">
      <c r="A62" s="150"/>
      <c r="B62" s="151"/>
      <c r="C62" s="151"/>
      <c r="D62" s="151"/>
      <c r="E62" s="151"/>
      <c r="F62" s="151"/>
      <c r="G62" s="1095" t="s">
        <v>839</v>
      </c>
      <c r="H62" s="1096"/>
      <c r="I62" s="1096"/>
      <c r="J62" s="1096"/>
      <c r="K62" s="1096"/>
      <c r="L62" s="1096"/>
      <c r="M62" s="1096"/>
      <c r="N62" s="1097"/>
    </row>
    <row r="63" spans="1:17">
      <c r="A63" s="150"/>
      <c r="B63" s="151"/>
      <c r="C63" s="151"/>
      <c r="D63" s="151"/>
      <c r="E63" s="937"/>
      <c r="F63" s="151"/>
      <c r="G63" s="1090" t="s">
        <v>840</v>
      </c>
      <c r="H63" s="1037"/>
      <c r="I63" s="1037"/>
      <c r="J63" s="1037"/>
      <c r="K63" s="1037"/>
      <c r="L63" s="1037"/>
      <c r="M63" s="1037"/>
      <c r="N63" s="1038"/>
    </row>
    <row r="64" spans="1:17" ht="15.75" thickBot="1">
      <c r="A64" s="158"/>
      <c r="B64" s="159"/>
      <c r="C64" s="159"/>
      <c r="D64" s="159"/>
      <c r="E64" s="159"/>
      <c r="F64" s="159"/>
      <c r="G64" s="160"/>
      <c r="H64" s="159"/>
      <c r="I64" s="159"/>
      <c r="J64" s="159"/>
      <c r="K64" s="159"/>
      <c r="L64" s="159"/>
      <c r="M64" s="159"/>
      <c r="N64" s="187"/>
    </row>
  </sheetData>
  <mergeCells count="63">
    <mergeCell ref="A1:H1"/>
    <mergeCell ref="A2:H2"/>
    <mergeCell ref="A3:H3"/>
    <mergeCell ref="C12:F12"/>
    <mergeCell ref="A4:H4"/>
    <mergeCell ref="A9:B9"/>
    <mergeCell ref="C9:F9"/>
    <mergeCell ref="J9:M9"/>
    <mergeCell ref="G5:I5"/>
    <mergeCell ref="G6:I6"/>
    <mergeCell ref="A7:I7"/>
    <mergeCell ref="A8:I8"/>
    <mergeCell ref="C23:F2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9:F29"/>
    <mergeCell ref="C30:F30"/>
    <mergeCell ref="C31:F31"/>
    <mergeCell ref="C32:F32"/>
    <mergeCell ref="C24:F24"/>
    <mergeCell ref="C25:F25"/>
    <mergeCell ref="C26:F26"/>
    <mergeCell ref="C27:F27"/>
    <mergeCell ref="C28:F28"/>
    <mergeCell ref="D51:E51"/>
    <mergeCell ref="G51:N51"/>
    <mergeCell ref="C44:F44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5:F45"/>
    <mergeCell ref="C46:F46"/>
    <mergeCell ref="C47:F47"/>
    <mergeCell ref="G49:N49"/>
    <mergeCell ref="G50:N50"/>
    <mergeCell ref="G63:N63"/>
    <mergeCell ref="D52:E52"/>
    <mergeCell ref="K52:L52"/>
    <mergeCell ref="D53:E53"/>
    <mergeCell ref="D54:E54"/>
    <mergeCell ref="G56:N56"/>
    <mergeCell ref="A57:F57"/>
    <mergeCell ref="G57:N57"/>
    <mergeCell ref="G58:N58"/>
    <mergeCell ref="G62:N62"/>
    <mergeCell ref="A55:B55"/>
    <mergeCell ref="D55:E55"/>
    <mergeCell ref="G55:N55"/>
  </mergeCells>
  <pageMargins left="0.511811023622047" right="0.511811023622047" top="0.511811023622047" bottom="0.511811023622047" header="0.31496062992126" footer="0.31496062992126"/>
  <pageSetup scale="70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71"/>
  <sheetViews>
    <sheetView workbookViewId="0">
      <selection activeCell="X33" sqref="X33"/>
    </sheetView>
  </sheetViews>
  <sheetFormatPr defaultRowHeight="15"/>
  <cols>
    <col min="1" max="1" width="2.85546875" customWidth="1"/>
    <col min="2" max="2" width="4.140625" customWidth="1"/>
    <col min="3" max="3" width="3.42578125" customWidth="1"/>
    <col min="4" max="4" width="3.5703125" customWidth="1"/>
    <col min="5" max="5" width="2.5703125" customWidth="1"/>
    <col min="6" max="6" width="3.140625" customWidth="1"/>
    <col min="7" max="7" width="3.28515625" customWidth="1"/>
    <col min="8" max="8" width="0.5703125" customWidth="1"/>
    <col min="9" max="10" width="2.42578125" customWidth="1"/>
    <col min="12" max="13" width="6.140625" customWidth="1"/>
    <col min="14" max="14" width="9.7109375" customWidth="1"/>
    <col min="15" max="15" width="7.85546875" customWidth="1"/>
    <col min="16" max="16" width="8.5703125" customWidth="1"/>
    <col min="17" max="17" width="7.140625" customWidth="1"/>
    <col min="18" max="18" width="8.42578125" customWidth="1"/>
    <col min="19" max="19" width="6.140625" customWidth="1"/>
    <col min="20" max="20" width="9.5703125" customWidth="1"/>
    <col min="21" max="21" width="7.85546875" customWidth="1"/>
    <col min="22" max="22" width="10.140625" customWidth="1"/>
    <col min="25" max="25" width="21.42578125" customWidth="1"/>
    <col min="26" max="26" width="16.28515625" customWidth="1"/>
    <col min="27" max="27" width="4" customWidth="1"/>
  </cols>
  <sheetData>
    <row r="1" spans="1:26">
      <c r="A1" s="1161" t="s">
        <v>0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3"/>
      <c r="U1" s="1167" t="s">
        <v>1</v>
      </c>
      <c r="V1" s="1168"/>
    </row>
    <row r="2" spans="1:26">
      <c r="A2" s="1164"/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165"/>
      <c r="R2" s="1165"/>
      <c r="S2" s="1165"/>
      <c r="T2" s="1166"/>
      <c r="U2" s="886"/>
      <c r="V2" s="2"/>
      <c r="Z2" s="78"/>
    </row>
    <row r="3" spans="1:26">
      <c r="A3" s="1169" t="s">
        <v>2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  <c r="N3" s="1170"/>
      <c r="O3" s="1170"/>
      <c r="P3" s="1170"/>
      <c r="Q3" s="1170"/>
      <c r="R3" s="1170"/>
      <c r="S3" s="1170"/>
      <c r="T3" s="1171"/>
      <c r="U3" s="1147" t="s">
        <v>3</v>
      </c>
      <c r="V3" s="1149"/>
      <c r="Z3" s="78"/>
    </row>
    <row r="4" spans="1:26">
      <c r="A4" s="1172"/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3"/>
      <c r="P4" s="1173"/>
      <c r="Q4" s="1173"/>
      <c r="R4" s="1173"/>
      <c r="S4" s="1173"/>
      <c r="T4" s="1174"/>
      <c r="U4" s="887"/>
      <c r="V4" s="4"/>
      <c r="Z4" s="78"/>
    </row>
    <row r="5" spans="1:26">
      <c r="A5" s="1139" t="s">
        <v>4</v>
      </c>
      <c r="B5" s="1140"/>
      <c r="C5" s="1140"/>
      <c r="D5" s="1140"/>
      <c r="E5" s="1140"/>
      <c r="F5" s="1140"/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1140"/>
      <c r="R5" s="1140"/>
      <c r="S5" s="1140"/>
      <c r="T5" s="1140"/>
      <c r="U5" s="1140"/>
      <c r="V5" s="1141"/>
      <c r="Z5" s="78"/>
    </row>
    <row r="6" spans="1:26">
      <c r="A6" s="1142" t="s">
        <v>922</v>
      </c>
      <c r="B6" s="1143"/>
      <c r="C6" s="1143"/>
      <c r="D6" s="1143"/>
      <c r="E6" s="1143"/>
      <c r="F6" s="1143"/>
      <c r="G6" s="1143"/>
      <c r="H6" s="1143"/>
      <c r="I6" s="1143"/>
      <c r="J6" s="1143"/>
      <c r="K6" s="1143"/>
      <c r="L6" s="1143"/>
      <c r="M6" s="1143"/>
      <c r="N6" s="1143"/>
      <c r="O6" s="1143"/>
      <c r="P6" s="1143"/>
      <c r="Q6" s="1143"/>
      <c r="R6" s="1143"/>
      <c r="S6" s="1143"/>
      <c r="T6" s="1143"/>
      <c r="U6" s="1143"/>
      <c r="V6" s="1144"/>
    </row>
    <row r="7" spans="1:26">
      <c r="A7" s="233" t="s">
        <v>5</v>
      </c>
      <c r="B7" s="197"/>
      <c r="C7" s="197"/>
      <c r="D7" s="197"/>
      <c r="E7" s="197"/>
      <c r="F7" s="197"/>
      <c r="G7" s="197"/>
      <c r="H7" s="886"/>
      <c r="I7" s="886" t="s">
        <v>6</v>
      </c>
      <c r="J7" s="886" t="s">
        <v>528</v>
      </c>
      <c r="K7" s="886"/>
      <c r="L7" s="886"/>
      <c r="M7" s="886" t="s">
        <v>1045</v>
      </c>
      <c r="N7" s="886"/>
      <c r="O7" s="886"/>
      <c r="P7" s="886"/>
      <c r="Q7" s="886"/>
      <c r="R7" s="886"/>
      <c r="S7" s="886"/>
      <c r="T7" s="886"/>
      <c r="U7" s="886"/>
      <c r="V7" s="2"/>
    </row>
    <row r="8" spans="1:26">
      <c r="A8" s="233" t="s">
        <v>9</v>
      </c>
      <c r="B8" s="197"/>
      <c r="C8" s="197"/>
      <c r="D8" s="197"/>
      <c r="E8" s="197"/>
      <c r="F8" s="197"/>
      <c r="G8" s="197"/>
      <c r="H8" s="886"/>
      <c r="I8" s="886" t="s">
        <v>6</v>
      </c>
      <c r="J8" s="6" t="s">
        <v>539</v>
      </c>
      <c r="K8" s="6"/>
      <c r="L8" s="886"/>
      <c r="M8" s="886" t="s">
        <v>11</v>
      </c>
      <c r="N8" s="886"/>
      <c r="O8" s="886"/>
      <c r="P8" s="886"/>
      <c r="Q8" s="886"/>
      <c r="R8" s="886"/>
      <c r="S8" s="886"/>
      <c r="T8" s="886"/>
      <c r="U8" s="886"/>
      <c r="V8" s="2"/>
    </row>
    <row r="9" spans="1:26">
      <c r="A9" s="233" t="s">
        <v>899</v>
      </c>
      <c r="B9" s="197"/>
      <c r="C9" s="197"/>
      <c r="D9" s="197"/>
      <c r="E9" s="197"/>
      <c r="F9" s="197"/>
      <c r="G9" s="197"/>
      <c r="H9" s="886"/>
      <c r="I9" s="886" t="s">
        <v>6</v>
      </c>
      <c r="J9" s="6" t="s">
        <v>900</v>
      </c>
      <c r="K9" s="6"/>
      <c r="L9" s="886"/>
      <c r="M9" s="886" t="s">
        <v>11</v>
      </c>
      <c r="N9" s="886"/>
      <c r="O9" s="886"/>
      <c r="P9" s="886"/>
      <c r="Q9" s="886"/>
      <c r="R9" s="886"/>
      <c r="S9" s="886"/>
      <c r="T9" s="886"/>
      <c r="U9" s="886"/>
      <c r="V9" s="2"/>
    </row>
    <row r="10" spans="1:26">
      <c r="A10" s="1139" t="s">
        <v>12</v>
      </c>
      <c r="B10" s="1140"/>
      <c r="C10" s="1140"/>
      <c r="D10" s="1140"/>
      <c r="E10" s="1140"/>
      <c r="F10" s="1140"/>
      <c r="G10" s="1140"/>
      <c r="H10" s="1140"/>
      <c r="I10" s="1140"/>
      <c r="J10" s="1140"/>
      <c r="K10" s="1140"/>
      <c r="L10" s="1140"/>
      <c r="M10" s="1140"/>
      <c r="N10" s="1140"/>
      <c r="O10" s="1140"/>
      <c r="P10" s="1140"/>
      <c r="Q10" s="1140"/>
      <c r="R10" s="1140"/>
      <c r="S10" s="1140"/>
      <c r="T10" s="1140"/>
      <c r="U10" s="1140"/>
      <c r="V10" s="1141"/>
    </row>
    <row r="11" spans="1:26">
      <c r="A11" s="1142" t="s">
        <v>2</v>
      </c>
      <c r="B11" s="1143"/>
      <c r="C11" s="1143"/>
      <c r="D11" s="1143"/>
      <c r="E11" s="1143"/>
      <c r="F11" s="1143"/>
      <c r="G11" s="1143"/>
      <c r="H11" s="1143"/>
      <c r="I11" s="1143"/>
      <c r="J11" s="1143"/>
      <c r="K11" s="1143"/>
      <c r="L11" s="1143"/>
      <c r="M11" s="1143"/>
      <c r="N11" s="1143"/>
      <c r="O11" s="1143"/>
      <c r="P11" s="1143"/>
      <c r="Q11" s="1143"/>
      <c r="R11" s="1143"/>
      <c r="S11" s="1143"/>
      <c r="T11" s="1143"/>
      <c r="U11" s="1143"/>
      <c r="V11" s="1144"/>
      <c r="Y11" s="376">
        <f>2650597000+1855908000+289292000+229000000+89271000+152953000+34007000+166000+894772000+185650000</f>
        <v>6381616000</v>
      </c>
    </row>
    <row r="12" spans="1:26">
      <c r="A12" s="1145" t="s">
        <v>13</v>
      </c>
      <c r="B12" s="1146"/>
      <c r="C12" s="1146"/>
      <c r="D12" s="1146"/>
      <c r="E12" s="1146"/>
      <c r="F12" s="1146"/>
      <c r="G12" s="1146"/>
      <c r="H12" s="1146"/>
      <c r="I12" s="1146"/>
      <c r="J12" s="1146"/>
      <c r="K12" s="1147" t="s">
        <v>14</v>
      </c>
      <c r="L12" s="1146"/>
      <c r="M12" s="1146"/>
      <c r="N12" s="1146"/>
      <c r="O12" s="1146"/>
      <c r="P12" s="1146"/>
      <c r="Q12" s="1146"/>
      <c r="R12" s="1146"/>
      <c r="S12" s="1148"/>
      <c r="T12" s="1147" t="s">
        <v>15</v>
      </c>
      <c r="U12" s="1146"/>
      <c r="V12" s="1149"/>
    </row>
    <row r="13" spans="1:26">
      <c r="A13" s="1145" t="s">
        <v>16</v>
      </c>
      <c r="B13" s="1146"/>
      <c r="C13" s="1146"/>
      <c r="D13" s="1146"/>
      <c r="E13" s="1146"/>
      <c r="F13" s="1146"/>
      <c r="G13" s="1146"/>
      <c r="H13" s="1146"/>
      <c r="I13" s="1146"/>
      <c r="J13" s="1146"/>
      <c r="K13" s="7"/>
      <c r="L13" s="8"/>
      <c r="M13" s="8"/>
      <c r="N13" s="8"/>
      <c r="O13" s="8"/>
      <c r="P13" s="8"/>
      <c r="Q13" s="8"/>
      <c r="R13" s="8"/>
      <c r="S13" s="9"/>
      <c r="T13" s="1147" t="s">
        <v>17</v>
      </c>
      <c r="U13" s="1146"/>
      <c r="V13" s="1149"/>
      <c r="Y13" s="78">
        <f>3731019000+10554610000</f>
        <v>14285629000</v>
      </c>
    </row>
    <row r="14" spans="1:26">
      <c r="A14" s="1150">
        <v>1</v>
      </c>
      <c r="B14" s="1151"/>
      <c r="C14" s="1151"/>
      <c r="D14" s="1151"/>
      <c r="E14" s="1151"/>
      <c r="F14" s="1151"/>
      <c r="G14" s="1151"/>
      <c r="H14" s="1151"/>
      <c r="I14" s="1151"/>
      <c r="J14" s="1152"/>
      <c r="K14" s="1153">
        <v>2</v>
      </c>
      <c r="L14" s="1151"/>
      <c r="M14" s="1151"/>
      <c r="N14" s="1151"/>
      <c r="O14" s="1151"/>
      <c r="P14" s="1151"/>
      <c r="Q14" s="1151"/>
      <c r="R14" s="1151"/>
      <c r="S14" s="1152"/>
      <c r="T14" s="1153">
        <v>6</v>
      </c>
      <c r="U14" s="1151"/>
      <c r="V14" s="1154"/>
    </row>
    <row r="15" spans="1:26">
      <c r="A15" s="1155"/>
      <c r="B15" s="1156"/>
      <c r="C15" s="1156"/>
      <c r="D15" s="1156"/>
      <c r="E15" s="1156"/>
      <c r="F15" s="1156"/>
      <c r="G15" s="1156"/>
      <c r="H15" s="1156"/>
      <c r="I15" s="1156"/>
      <c r="J15" s="1157"/>
      <c r="K15" s="10"/>
      <c r="L15" s="11"/>
      <c r="M15" s="11"/>
      <c r="N15" s="11"/>
      <c r="O15" s="11"/>
      <c r="P15" s="11"/>
      <c r="Q15" s="11"/>
      <c r="R15" s="12"/>
      <c r="S15" s="12"/>
      <c r="T15" s="1158"/>
      <c r="U15" s="1159"/>
      <c r="V15" s="1160"/>
      <c r="Y15" s="79">
        <f>T25+10554610000</f>
        <v>14845168181</v>
      </c>
    </row>
    <row r="16" spans="1:26">
      <c r="A16" s="13" t="s">
        <v>540</v>
      </c>
      <c r="B16" s="14"/>
      <c r="C16" s="15"/>
      <c r="D16" s="14"/>
      <c r="E16" s="14"/>
      <c r="F16" s="15"/>
      <c r="G16" s="15"/>
      <c r="H16" s="15"/>
      <c r="I16" s="16"/>
      <c r="J16" s="17"/>
      <c r="K16" s="10" t="s">
        <v>541</v>
      </c>
      <c r="L16" s="11"/>
      <c r="M16" s="11"/>
      <c r="N16" s="11"/>
      <c r="O16" s="11"/>
      <c r="P16" s="11"/>
      <c r="Q16" s="11"/>
      <c r="R16" s="12"/>
      <c r="S16" s="12"/>
      <c r="T16" s="1136">
        <f>T17</f>
        <v>3713000000</v>
      </c>
      <c r="U16" s="1137"/>
      <c r="V16" s="1138"/>
    </row>
    <row r="17" spans="1:25">
      <c r="A17" s="13" t="s">
        <v>542</v>
      </c>
      <c r="B17" s="14"/>
      <c r="C17" s="15"/>
      <c r="D17" s="14"/>
      <c r="E17" s="14"/>
      <c r="F17" s="15"/>
      <c r="G17" s="15"/>
      <c r="H17" s="15"/>
      <c r="I17" s="16"/>
      <c r="J17" s="17"/>
      <c r="K17" s="10" t="s">
        <v>543</v>
      </c>
      <c r="L17" s="11"/>
      <c r="M17" s="11"/>
      <c r="N17" s="11"/>
      <c r="O17" s="11"/>
      <c r="P17" s="11"/>
      <c r="Q17" s="11"/>
      <c r="R17" s="12"/>
      <c r="S17" s="12"/>
      <c r="T17" s="1136">
        <f>T18+T21</f>
        <v>3713000000</v>
      </c>
      <c r="U17" s="1137"/>
      <c r="V17" s="1138"/>
    </row>
    <row r="18" spans="1:25">
      <c r="A18" s="13" t="s">
        <v>544</v>
      </c>
      <c r="B18" s="14"/>
      <c r="C18" s="15"/>
      <c r="D18" s="14"/>
      <c r="E18" s="14"/>
      <c r="F18" s="15"/>
      <c r="G18" s="15"/>
      <c r="H18" s="15"/>
      <c r="I18" s="16"/>
      <c r="J18" s="17"/>
      <c r="K18" s="10" t="s">
        <v>545</v>
      </c>
      <c r="L18" s="11"/>
      <c r="M18" s="11"/>
      <c r="N18" s="11"/>
      <c r="O18" s="11"/>
      <c r="P18" s="11"/>
      <c r="Q18" s="11"/>
      <c r="R18" s="12"/>
      <c r="S18" s="12"/>
      <c r="T18" s="1136">
        <f>T19</f>
        <v>3713000000</v>
      </c>
      <c r="U18" s="1137"/>
      <c r="V18" s="1138"/>
    </row>
    <row r="19" spans="1:25">
      <c r="A19" s="13" t="s">
        <v>546</v>
      </c>
      <c r="B19" s="14"/>
      <c r="C19" s="15"/>
      <c r="D19" s="14"/>
      <c r="E19" s="14"/>
      <c r="F19" s="15"/>
      <c r="G19" s="15"/>
      <c r="H19" s="15"/>
      <c r="I19" s="16"/>
      <c r="J19" s="17"/>
      <c r="K19" s="10" t="s">
        <v>547</v>
      </c>
      <c r="L19" s="11"/>
      <c r="M19" s="11"/>
      <c r="N19" s="11"/>
      <c r="O19" s="11"/>
      <c r="P19" s="11"/>
      <c r="Q19" s="11"/>
      <c r="R19" s="12"/>
      <c r="S19" s="12"/>
      <c r="T19" s="1111">
        <f>T20</f>
        <v>3713000000</v>
      </c>
      <c r="U19" s="1128"/>
      <c r="V19" s="1129"/>
    </row>
    <row r="20" spans="1:25">
      <c r="A20" s="13" t="s">
        <v>699</v>
      </c>
      <c r="B20" s="14"/>
      <c r="C20" s="15"/>
      <c r="D20" s="14"/>
      <c r="E20" s="14"/>
      <c r="F20" s="15"/>
      <c r="G20" s="15"/>
      <c r="H20" s="15"/>
      <c r="I20" s="16"/>
      <c r="J20" s="17"/>
      <c r="K20" s="10" t="s">
        <v>700</v>
      </c>
      <c r="L20" s="11"/>
      <c r="M20" s="11"/>
      <c r="N20" s="11"/>
      <c r="O20" s="11"/>
      <c r="P20" s="11"/>
      <c r="Q20" s="11"/>
      <c r="R20" s="12"/>
      <c r="S20" s="12"/>
      <c r="T20" s="1111">
        <v>3713000000</v>
      </c>
      <c r="U20" s="1128"/>
      <c r="V20" s="1129"/>
    </row>
    <row r="21" spans="1:25">
      <c r="A21" s="13" t="s">
        <v>1104</v>
      </c>
      <c r="B21" s="14"/>
      <c r="C21" s="15"/>
      <c r="D21" s="14"/>
      <c r="E21" s="14"/>
      <c r="F21" s="15"/>
      <c r="G21" s="15"/>
      <c r="H21" s="15"/>
      <c r="I21" s="16"/>
      <c r="J21" s="17"/>
      <c r="K21" s="10" t="s">
        <v>1106</v>
      </c>
      <c r="L21" s="11"/>
      <c r="M21" s="11"/>
      <c r="N21" s="11"/>
      <c r="O21" s="11"/>
      <c r="P21" s="11"/>
      <c r="Q21" s="11"/>
      <c r="R21" s="12"/>
      <c r="S21" s="12"/>
      <c r="T21" s="1111">
        <f>T22</f>
        <v>0</v>
      </c>
      <c r="U21" s="1128"/>
      <c r="V21" s="1129"/>
    </row>
    <row r="22" spans="1:25">
      <c r="A22" s="13" t="s">
        <v>1105</v>
      </c>
      <c r="B22" s="14"/>
      <c r="C22" s="15"/>
      <c r="D22" s="14"/>
      <c r="E22" s="14"/>
      <c r="F22" s="15"/>
      <c r="G22" s="15"/>
      <c r="H22" s="15"/>
      <c r="I22" s="16"/>
      <c r="J22" s="17"/>
      <c r="K22" s="10" t="s">
        <v>1106</v>
      </c>
      <c r="L22" s="11"/>
      <c r="M22" s="11"/>
      <c r="N22" s="11"/>
      <c r="O22" s="11"/>
      <c r="P22" s="11"/>
      <c r="Q22" s="11"/>
      <c r="R22" s="12"/>
      <c r="S22" s="12"/>
      <c r="T22" s="1111">
        <v>0</v>
      </c>
      <c r="U22" s="1128"/>
      <c r="V22" s="1129"/>
    </row>
    <row r="23" spans="1:25">
      <c r="A23" s="13"/>
      <c r="B23" s="14"/>
      <c r="C23" s="15"/>
      <c r="D23" s="14"/>
      <c r="E23" s="14"/>
      <c r="F23" s="15"/>
      <c r="G23" s="15"/>
      <c r="H23" s="15"/>
      <c r="I23" s="16"/>
      <c r="J23" s="17"/>
      <c r="K23" s="10"/>
      <c r="L23" s="11"/>
      <c r="M23" s="11"/>
      <c r="N23" s="11"/>
      <c r="O23" s="11"/>
      <c r="P23" s="11"/>
      <c r="Q23" s="11"/>
      <c r="R23" s="12"/>
      <c r="S23" s="12"/>
      <c r="T23" s="875"/>
      <c r="U23" s="876"/>
      <c r="V23" s="877"/>
      <c r="Y23" s="79">
        <f>T28-10554610000</f>
        <v>5569588118</v>
      </c>
    </row>
    <row r="24" spans="1:25">
      <c r="A24" s="1109" t="s">
        <v>548</v>
      </c>
      <c r="B24" s="1105"/>
      <c r="C24" s="1105"/>
      <c r="D24" s="1105"/>
      <c r="E24" s="1105"/>
      <c r="F24" s="1105"/>
      <c r="G24" s="1105"/>
      <c r="H24" s="1105"/>
      <c r="I24" s="1105"/>
      <c r="J24" s="1110"/>
      <c r="K24" s="10" t="s">
        <v>551</v>
      </c>
      <c r="L24" s="11"/>
      <c r="M24" s="11"/>
      <c r="N24" s="11"/>
      <c r="O24" s="11"/>
      <c r="P24" s="11"/>
      <c r="Q24" s="11"/>
      <c r="R24" s="12"/>
      <c r="S24" s="12"/>
      <c r="T24" s="1136">
        <f>T25+T28</f>
        <v>20414756299</v>
      </c>
      <c r="U24" s="1137"/>
      <c r="V24" s="1138"/>
    </row>
    <row r="25" spans="1:25">
      <c r="A25" s="1109" t="s">
        <v>549</v>
      </c>
      <c r="B25" s="1105"/>
      <c r="C25" s="1105"/>
      <c r="D25" s="1105"/>
      <c r="E25" s="1105"/>
      <c r="F25" s="1105"/>
      <c r="G25" s="1105"/>
      <c r="H25" s="1105"/>
      <c r="I25" s="1105"/>
      <c r="J25" s="1110"/>
      <c r="K25" s="10" t="s">
        <v>20</v>
      </c>
      <c r="L25" s="11"/>
      <c r="M25" s="11"/>
      <c r="N25" s="11"/>
      <c r="O25" s="11"/>
      <c r="P25" s="11"/>
      <c r="Q25" s="11"/>
      <c r="R25" s="12"/>
      <c r="S25" s="12"/>
      <c r="T25" s="1111">
        <f>T26</f>
        <v>4290558181</v>
      </c>
      <c r="U25" s="1128"/>
      <c r="V25" s="1129"/>
    </row>
    <row r="26" spans="1:25">
      <c r="A26" s="1109" t="s">
        <v>550</v>
      </c>
      <c r="B26" s="1105"/>
      <c r="C26" s="1105"/>
      <c r="D26" s="1105"/>
      <c r="E26" s="1105"/>
      <c r="F26" s="1105"/>
      <c r="G26" s="1105"/>
      <c r="H26" s="1105"/>
      <c r="I26" s="1105"/>
      <c r="J26" s="1110"/>
      <c r="K26" s="10" t="s">
        <v>22</v>
      </c>
      <c r="L26" s="11"/>
      <c r="M26" s="11"/>
      <c r="N26" s="11"/>
      <c r="O26" s="11"/>
      <c r="P26" s="11"/>
      <c r="Q26" s="11"/>
      <c r="R26" s="12"/>
      <c r="S26" s="12"/>
      <c r="T26" s="1111">
        <v>4290558181</v>
      </c>
      <c r="U26" s="1128"/>
      <c r="V26" s="1129"/>
      <c r="Y26" s="79">
        <f>T24-20117756299</f>
        <v>297000000</v>
      </c>
    </row>
    <row r="27" spans="1:25">
      <c r="A27" s="13"/>
      <c r="B27" s="11"/>
      <c r="C27" s="11"/>
      <c r="D27" s="11"/>
      <c r="E27" s="11"/>
      <c r="F27" s="11"/>
      <c r="G27" s="11"/>
      <c r="H27" s="11"/>
      <c r="I27" s="11"/>
      <c r="J27" s="18"/>
      <c r="K27" s="19"/>
      <c r="L27" s="11"/>
      <c r="M27" s="11"/>
      <c r="N27" s="11"/>
      <c r="O27" s="11"/>
      <c r="P27" s="11"/>
      <c r="Q27" s="11"/>
      <c r="R27" s="12"/>
      <c r="S27" s="12"/>
      <c r="T27" s="1111"/>
      <c r="U27" s="1128"/>
      <c r="V27" s="1129"/>
    </row>
    <row r="28" spans="1:25">
      <c r="A28" s="1109" t="s">
        <v>552</v>
      </c>
      <c r="B28" s="1105"/>
      <c r="C28" s="1105"/>
      <c r="D28" s="1105"/>
      <c r="E28" s="1105"/>
      <c r="F28" s="1105"/>
      <c r="G28" s="1105"/>
      <c r="H28" s="1105"/>
      <c r="I28" s="1105"/>
      <c r="J28" s="1110"/>
      <c r="K28" s="10" t="s">
        <v>23</v>
      </c>
      <c r="L28" s="11"/>
      <c r="M28" s="11"/>
      <c r="N28" s="11"/>
      <c r="O28" s="11"/>
      <c r="P28" s="11"/>
      <c r="Q28" s="11"/>
      <c r="R28" s="12"/>
      <c r="S28" s="12"/>
      <c r="T28" s="1183">
        <f>T29+T30+T31</f>
        <v>16124198118</v>
      </c>
      <c r="U28" s="1184"/>
      <c r="V28" s="1185"/>
    </row>
    <row r="29" spans="1:25">
      <c r="A29" s="1109" t="s">
        <v>767</v>
      </c>
      <c r="B29" s="1105"/>
      <c r="C29" s="1105"/>
      <c r="D29" s="1105"/>
      <c r="E29" s="1105"/>
      <c r="F29" s="1105"/>
      <c r="G29" s="1105"/>
      <c r="H29" s="1105"/>
      <c r="I29" s="1105"/>
      <c r="J29" s="1110"/>
      <c r="K29" s="10" t="s">
        <v>22</v>
      </c>
      <c r="L29" s="11"/>
      <c r="M29" s="11"/>
      <c r="N29" s="11"/>
      <c r="O29" s="11"/>
      <c r="P29" s="11"/>
      <c r="Q29" s="11"/>
      <c r="R29" s="12"/>
      <c r="S29" s="12"/>
      <c r="T29" s="1111">
        <v>176217000</v>
      </c>
      <c r="U29" s="1128"/>
      <c r="V29" s="1129"/>
      <c r="Y29" s="79">
        <f>T28-1320544150</f>
        <v>14803653968</v>
      </c>
    </row>
    <row r="30" spans="1:25">
      <c r="A30" s="1109" t="s">
        <v>553</v>
      </c>
      <c r="B30" s="1105"/>
      <c r="C30" s="1105"/>
      <c r="D30" s="1105"/>
      <c r="E30" s="1105"/>
      <c r="F30" s="1105"/>
      <c r="G30" s="1105"/>
      <c r="H30" s="1105"/>
      <c r="I30" s="1105"/>
      <c r="J30" s="1110"/>
      <c r="K30" s="10" t="s">
        <v>24</v>
      </c>
      <c r="L30" s="11"/>
      <c r="M30" s="11"/>
      <c r="N30" s="11"/>
      <c r="O30" s="11"/>
      <c r="P30" s="11"/>
      <c r="Q30" s="11"/>
      <c r="R30" s="12"/>
      <c r="S30" s="12"/>
      <c r="T30" s="1111">
        <v>4780981118</v>
      </c>
      <c r="U30" s="1128"/>
      <c r="V30" s="1129"/>
    </row>
    <row r="31" spans="1:25">
      <c r="A31" s="1109" t="s">
        <v>25</v>
      </c>
      <c r="B31" s="1105"/>
      <c r="C31" s="1105"/>
      <c r="D31" s="1105"/>
      <c r="E31" s="1105"/>
      <c r="F31" s="1105"/>
      <c r="G31" s="1105"/>
      <c r="H31" s="1105"/>
      <c r="I31" s="1105"/>
      <c r="J31" s="1110"/>
      <c r="K31" s="10" t="s">
        <v>26</v>
      </c>
      <c r="L31" s="11"/>
      <c r="M31" s="11"/>
      <c r="N31" s="11"/>
      <c r="O31" s="11"/>
      <c r="P31" s="11"/>
      <c r="Q31" s="11"/>
      <c r="R31" s="12"/>
      <c r="S31" s="12"/>
      <c r="T31" s="1111">
        <v>11167000000</v>
      </c>
      <c r="U31" s="1128"/>
      <c r="V31" s="1129"/>
      <c r="Y31" s="79">
        <f>T29+T30</f>
        <v>4957198118</v>
      </c>
    </row>
    <row r="32" spans="1:25">
      <c r="A32" s="13"/>
      <c r="B32" s="14"/>
      <c r="C32" s="15"/>
      <c r="D32" s="14"/>
      <c r="E32" s="14"/>
      <c r="F32" s="15"/>
      <c r="G32" s="15"/>
      <c r="H32" s="15"/>
      <c r="I32" s="16"/>
      <c r="J32" s="17"/>
      <c r="K32" s="10"/>
      <c r="L32" s="11"/>
      <c r="M32" s="11"/>
      <c r="N32" s="11"/>
      <c r="O32" s="11"/>
      <c r="P32" s="11"/>
      <c r="Q32" s="11"/>
      <c r="R32" s="12"/>
      <c r="S32" s="12"/>
      <c r="T32" s="1111"/>
      <c r="U32" s="1128"/>
      <c r="V32" s="1129"/>
      <c r="Y32" s="79">
        <f>T31+Y31</f>
        <v>16124198118</v>
      </c>
    </row>
    <row r="33" spans="1:29">
      <c r="A33" s="13"/>
      <c r="B33" s="11"/>
      <c r="C33" s="11"/>
      <c r="D33" s="11"/>
      <c r="E33" s="11"/>
      <c r="F33" s="11"/>
      <c r="G33" s="11"/>
      <c r="H33" s="11"/>
      <c r="I33" s="11"/>
      <c r="J33" s="18"/>
      <c r="K33" s="10"/>
      <c r="L33" s="11"/>
      <c r="M33" s="11"/>
      <c r="N33" s="11"/>
      <c r="O33" s="11"/>
      <c r="P33" s="11"/>
      <c r="Q33" s="11"/>
      <c r="R33" s="12"/>
      <c r="S33" s="12"/>
      <c r="T33" s="1111"/>
      <c r="U33" s="1128"/>
      <c r="V33" s="1129"/>
    </row>
    <row r="34" spans="1:29">
      <c r="A34" s="13"/>
      <c r="B34" s="11"/>
      <c r="C34" s="11"/>
      <c r="D34" s="11"/>
      <c r="E34" s="11"/>
      <c r="F34" s="11"/>
      <c r="G34" s="11"/>
      <c r="H34" s="11"/>
      <c r="I34" s="11"/>
      <c r="J34" s="18"/>
      <c r="K34" s="10"/>
      <c r="L34" s="11"/>
      <c r="M34" s="11"/>
      <c r="N34" s="11"/>
      <c r="O34" s="11"/>
      <c r="P34" s="11"/>
      <c r="Q34" s="11"/>
      <c r="R34" s="12"/>
      <c r="S34" s="12"/>
      <c r="T34" s="1111"/>
      <c r="U34" s="1128"/>
      <c r="V34" s="1129"/>
    </row>
    <row r="35" spans="1:29">
      <c r="A35" s="1121" t="s">
        <v>27</v>
      </c>
      <c r="B35" s="1122"/>
      <c r="C35" s="1122"/>
      <c r="D35" s="1122"/>
      <c r="E35" s="1122"/>
      <c r="F35" s="1122"/>
      <c r="G35" s="1122"/>
      <c r="H35" s="1122"/>
      <c r="I35" s="1122"/>
      <c r="J35" s="1122"/>
      <c r="K35" s="1122"/>
      <c r="L35" s="1122"/>
      <c r="M35" s="1122"/>
      <c r="N35" s="1122"/>
      <c r="O35" s="1122"/>
      <c r="P35" s="1122"/>
      <c r="Q35" s="1122"/>
      <c r="R35" s="1122"/>
      <c r="S35" s="1122"/>
      <c r="T35" s="1130">
        <f>T16-T24</f>
        <v>-16701756299</v>
      </c>
      <c r="U35" s="1131"/>
      <c r="V35" s="1132"/>
      <c r="Y35" s="79"/>
    </row>
    <row r="36" spans="1:29">
      <c r="A36" s="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20"/>
    </row>
    <row r="37" spans="1:29">
      <c r="A37" s="1123" t="s">
        <v>28</v>
      </c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7"/>
    </row>
    <row r="38" spans="1:29">
      <c r="A38" s="1133" t="s">
        <v>29</v>
      </c>
      <c r="B38" s="1134"/>
      <c r="C38" s="1134"/>
      <c r="D38" s="1134"/>
      <c r="E38" s="1134"/>
      <c r="F38" s="1134"/>
      <c r="G38" s="1134"/>
      <c r="H38" s="1134"/>
      <c r="I38" s="1134"/>
      <c r="J38" s="1134"/>
      <c r="K38" s="1134"/>
      <c r="L38" s="1134"/>
      <c r="M38" s="1134"/>
      <c r="N38" s="1134"/>
      <c r="O38" s="1134"/>
      <c r="P38" s="1134"/>
      <c r="Q38" s="1134"/>
      <c r="R38" s="1134"/>
      <c r="S38" s="1134"/>
      <c r="T38" s="1134"/>
      <c r="U38" s="1134"/>
      <c r="V38" s="1135"/>
      <c r="Y38" s="150"/>
      <c r="Z38" s="151"/>
      <c r="AA38" s="151"/>
      <c r="AB38" s="1087"/>
      <c r="AC38" s="1087"/>
    </row>
    <row r="39" spans="1:29">
      <c r="A39" s="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20"/>
      <c r="Y39" s="150"/>
      <c r="Z39" s="151"/>
      <c r="AA39" s="151"/>
      <c r="AB39" s="1087"/>
      <c r="AC39" s="1087"/>
    </row>
    <row r="40" spans="1:29">
      <c r="A40" s="1123" t="s">
        <v>30</v>
      </c>
      <c r="B40" s="1124"/>
      <c r="C40" s="1124"/>
      <c r="D40" s="1124"/>
      <c r="E40" s="1124"/>
      <c r="F40" s="1124"/>
      <c r="G40" s="1124"/>
      <c r="H40" s="1125"/>
      <c r="I40" s="1126" t="s">
        <v>14</v>
      </c>
      <c r="J40" s="1124"/>
      <c r="K40" s="1124"/>
      <c r="L40" s="1125"/>
      <c r="M40" s="1115" t="s">
        <v>31</v>
      </c>
      <c r="N40" s="1122"/>
      <c r="O40" s="1122"/>
      <c r="P40" s="1122"/>
      <c r="Q40" s="1122"/>
      <c r="R40" s="1122"/>
      <c r="S40" s="1122"/>
      <c r="T40" s="1122"/>
      <c r="U40" s="1126" t="s">
        <v>15</v>
      </c>
      <c r="V40" s="1127"/>
      <c r="Y40" s="150"/>
      <c r="Z40" s="151"/>
      <c r="AA40" s="151"/>
      <c r="AB40" s="1087"/>
      <c r="AC40" s="1087"/>
    </row>
    <row r="41" spans="1:29">
      <c r="A41" s="21"/>
      <c r="B41" s="22"/>
      <c r="C41" s="22"/>
      <c r="D41" s="22"/>
      <c r="E41" s="22"/>
      <c r="F41" s="22"/>
      <c r="G41" s="22"/>
      <c r="H41" s="23"/>
      <c r="I41" s="24"/>
      <c r="J41" s="22"/>
      <c r="K41" s="22"/>
      <c r="L41" s="23"/>
      <c r="M41" s="1115" t="s">
        <v>32</v>
      </c>
      <c r="N41" s="1120"/>
      <c r="O41" s="1115" t="s">
        <v>33</v>
      </c>
      <c r="P41" s="1120"/>
      <c r="Q41" s="1115" t="s">
        <v>34</v>
      </c>
      <c r="R41" s="1120"/>
      <c r="S41" s="1115" t="s">
        <v>35</v>
      </c>
      <c r="T41" s="1120"/>
      <c r="U41" s="25"/>
      <c r="V41" s="26"/>
      <c r="Y41" s="150"/>
      <c r="Z41" s="151"/>
      <c r="AA41" s="153"/>
      <c r="AB41" s="1091"/>
      <c r="AC41" s="1091"/>
    </row>
    <row r="42" spans="1:29">
      <c r="A42" s="1121">
        <v>1</v>
      </c>
      <c r="B42" s="1122"/>
      <c r="C42" s="1122"/>
      <c r="D42" s="1122"/>
      <c r="E42" s="1122"/>
      <c r="F42" s="1122"/>
      <c r="G42" s="1122"/>
      <c r="H42" s="1120"/>
      <c r="I42" s="1122">
        <v>2</v>
      </c>
      <c r="J42" s="1122"/>
      <c r="K42" s="1122"/>
      <c r="L42" s="1120"/>
      <c r="M42" s="1115">
        <v>3</v>
      </c>
      <c r="N42" s="1120"/>
      <c r="O42" s="1115">
        <v>4</v>
      </c>
      <c r="P42" s="1120"/>
      <c r="Q42" s="1115">
        <v>5</v>
      </c>
      <c r="R42" s="1120"/>
      <c r="S42" s="1115">
        <v>6</v>
      </c>
      <c r="T42" s="1120"/>
      <c r="U42" s="1115" t="s">
        <v>36</v>
      </c>
      <c r="V42" s="1116"/>
    </row>
    <row r="43" spans="1:29">
      <c r="A43" s="878"/>
      <c r="B43" s="879"/>
      <c r="C43" s="879"/>
      <c r="D43" s="879"/>
      <c r="E43" s="879"/>
      <c r="F43" s="879"/>
      <c r="G43" s="879"/>
      <c r="H43" s="884"/>
      <c r="I43" s="883"/>
      <c r="J43" s="883"/>
      <c r="K43" s="883"/>
      <c r="L43" s="883"/>
      <c r="M43" s="881"/>
      <c r="N43" s="880"/>
      <c r="O43" s="883"/>
      <c r="P43" s="883"/>
      <c r="Q43" s="881"/>
      <c r="R43" s="880"/>
      <c r="S43" s="883"/>
      <c r="T43" s="883"/>
      <c r="U43" s="882"/>
      <c r="V43" s="885"/>
      <c r="Y43" s="79">
        <f>U44-U45-U46</f>
        <v>-16701756299</v>
      </c>
    </row>
    <row r="44" spans="1:29">
      <c r="A44" s="1109" t="s">
        <v>542</v>
      </c>
      <c r="B44" s="1105"/>
      <c r="C44" s="1105"/>
      <c r="D44" s="1105"/>
      <c r="E44" s="1105"/>
      <c r="F44" s="1105"/>
      <c r="G44" s="1105"/>
      <c r="H44" s="18"/>
      <c r="I44" s="1117" t="s">
        <v>816</v>
      </c>
      <c r="J44" s="1100"/>
      <c r="K44" s="1100"/>
      <c r="L44" s="1118"/>
      <c r="M44" s="1178">
        <v>928250000</v>
      </c>
      <c r="N44" s="1179"/>
      <c r="O44" s="1178">
        <f>M44</f>
        <v>928250000</v>
      </c>
      <c r="P44" s="1179"/>
      <c r="Q44" s="1178">
        <f>O44</f>
        <v>928250000</v>
      </c>
      <c r="R44" s="1179"/>
      <c r="S44" s="1178">
        <f>Q44</f>
        <v>928250000</v>
      </c>
      <c r="T44" s="1179"/>
      <c r="U44" s="1178">
        <f>M44+O44+Q44+S44</f>
        <v>3713000000</v>
      </c>
      <c r="V44" s="1180"/>
    </row>
    <row r="45" spans="1:29">
      <c r="A45" s="1109" t="s">
        <v>549</v>
      </c>
      <c r="B45" s="1105"/>
      <c r="C45" s="1105"/>
      <c r="D45" s="1105"/>
      <c r="E45" s="1105"/>
      <c r="F45" s="1105"/>
      <c r="G45" s="1105"/>
      <c r="H45" s="1110"/>
      <c r="I45" s="11" t="s">
        <v>20</v>
      </c>
      <c r="J45" s="11"/>
      <c r="K45" s="11"/>
      <c r="L45" s="11"/>
      <c r="M45" s="1111">
        <v>919405326</v>
      </c>
      <c r="N45" s="1112"/>
      <c r="O45" s="1111">
        <v>1225873768</v>
      </c>
      <c r="P45" s="1112"/>
      <c r="Q45" s="1111">
        <v>1225873761</v>
      </c>
      <c r="R45" s="1112"/>
      <c r="S45" s="1111">
        <v>919405326</v>
      </c>
      <c r="T45" s="1112"/>
      <c r="U45" s="1111">
        <f>M45+O45+Q45+S45</f>
        <v>4290558181</v>
      </c>
      <c r="V45" s="1129"/>
    </row>
    <row r="46" spans="1:29">
      <c r="A46" s="1109" t="s">
        <v>552</v>
      </c>
      <c r="B46" s="1105"/>
      <c r="C46" s="1105"/>
      <c r="D46" s="1105"/>
      <c r="E46" s="1105"/>
      <c r="F46" s="1105"/>
      <c r="G46" s="1105"/>
      <c r="H46" s="1110"/>
      <c r="I46" s="11" t="s">
        <v>37</v>
      </c>
      <c r="J46" s="11"/>
      <c r="K46" s="11"/>
      <c r="L46" s="11"/>
      <c r="M46" s="1111">
        <v>2670694250</v>
      </c>
      <c r="N46" s="1112"/>
      <c r="O46" s="1111">
        <v>5489765368</v>
      </c>
      <c r="P46" s="1112"/>
      <c r="Q46" s="1111">
        <v>5391044250</v>
      </c>
      <c r="R46" s="1112"/>
      <c r="S46" s="1111">
        <v>2572694250</v>
      </c>
      <c r="T46" s="1112"/>
      <c r="U46" s="1111">
        <f>S46+Q46+O46+M46</f>
        <v>16124198118</v>
      </c>
      <c r="V46" s="1129"/>
      <c r="Y46">
        <f>1320544150</f>
        <v>1320544150</v>
      </c>
    </row>
    <row r="47" spans="1:29">
      <c r="A47" s="13"/>
      <c r="B47" s="11"/>
      <c r="C47" s="11"/>
      <c r="D47" s="11"/>
      <c r="E47" s="11"/>
      <c r="F47" s="11"/>
      <c r="G47" s="11"/>
      <c r="H47" s="18"/>
      <c r="I47" s="11"/>
      <c r="J47" s="11"/>
      <c r="K47" s="11"/>
      <c r="L47" s="11"/>
      <c r="M47" s="10"/>
      <c r="N47" s="18"/>
      <c r="O47" s="11"/>
      <c r="P47" s="11"/>
      <c r="Q47" s="10"/>
      <c r="R47" s="18"/>
      <c r="S47" s="11"/>
      <c r="T47" s="11"/>
      <c r="U47" s="10"/>
      <c r="V47" s="20"/>
      <c r="Y47" s="79">
        <f>Y46-U46</f>
        <v>-14803653968</v>
      </c>
    </row>
    <row r="48" spans="1:29">
      <c r="A48" s="13"/>
      <c r="B48" s="11"/>
      <c r="C48" s="11"/>
      <c r="D48" s="11"/>
      <c r="E48" s="11"/>
      <c r="F48" s="11"/>
      <c r="G48" s="11"/>
      <c r="H48" s="18"/>
      <c r="I48" s="11"/>
      <c r="J48" s="11"/>
      <c r="K48" s="11"/>
      <c r="L48" s="11"/>
      <c r="M48" s="10"/>
      <c r="N48" s="18"/>
      <c r="O48" s="11"/>
      <c r="P48" s="11"/>
      <c r="Q48" s="10"/>
      <c r="R48" s="18"/>
      <c r="S48" s="11"/>
      <c r="T48" s="11"/>
      <c r="U48" s="10"/>
      <c r="V48" s="20"/>
    </row>
    <row r="49" spans="1:25">
      <c r="A49" s="13"/>
      <c r="B49" s="11"/>
      <c r="C49" s="11"/>
      <c r="D49" s="11"/>
      <c r="E49" s="11"/>
      <c r="F49" s="11"/>
      <c r="G49" s="11"/>
      <c r="H49" s="18"/>
      <c r="I49" s="11"/>
      <c r="J49" s="11"/>
      <c r="K49" s="11"/>
      <c r="L49" s="11"/>
      <c r="M49" s="10"/>
      <c r="N49" s="18"/>
      <c r="O49" s="11"/>
      <c r="P49" s="11"/>
      <c r="Q49" s="10"/>
      <c r="R49" s="18"/>
      <c r="S49" s="11"/>
      <c r="T49" s="11"/>
      <c r="U49" s="10"/>
      <c r="V49" s="20"/>
      <c r="Y49" s="79">
        <f>U45+U46</f>
        <v>20414756299</v>
      </c>
    </row>
    <row r="50" spans="1:25">
      <c r="A50" s="21"/>
      <c r="B50" s="22"/>
      <c r="C50" s="22"/>
      <c r="D50" s="22"/>
      <c r="E50" s="22"/>
      <c r="F50" s="22"/>
      <c r="G50" s="22"/>
      <c r="H50" s="23"/>
      <c r="I50" s="22"/>
      <c r="J50" s="22"/>
      <c r="K50" s="22"/>
      <c r="L50" s="22"/>
      <c r="M50" s="24"/>
      <c r="N50" s="23"/>
      <c r="O50" s="22"/>
      <c r="P50" s="22"/>
      <c r="Q50" s="24"/>
      <c r="R50" s="23"/>
      <c r="S50" s="22"/>
      <c r="T50" s="22"/>
      <c r="U50" s="24"/>
      <c r="V50" s="29"/>
    </row>
    <row r="51" spans="1:25">
      <c r="A51" s="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0"/>
    </row>
    <row r="52" spans="1:25">
      <c r="A52" s="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0"/>
      <c r="Y52" s="79">
        <f>U46+U45</f>
        <v>20414756299</v>
      </c>
    </row>
    <row r="53" spans="1:25">
      <c r="A53" s="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00" t="s">
        <v>1094</v>
      </c>
      <c r="S53" s="1100"/>
      <c r="T53" s="1100"/>
      <c r="U53" s="1100"/>
      <c r="V53" s="1101"/>
    </row>
    <row r="54" spans="1:25">
      <c r="A54" s="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00" t="s">
        <v>38</v>
      </c>
      <c r="S54" s="1100"/>
      <c r="T54" s="1100"/>
      <c r="U54" s="1100"/>
      <c r="V54" s="1101"/>
    </row>
    <row r="55" spans="1:25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00" t="s">
        <v>39</v>
      </c>
      <c r="S55" s="1100"/>
      <c r="T55" s="1100"/>
      <c r="U55" s="1100"/>
      <c r="V55" s="1101"/>
      <c r="Y55" s="79">
        <f>M46+O46+Q46+S46</f>
        <v>16124198118</v>
      </c>
    </row>
    <row r="56" spans="1:25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00" t="s">
        <v>4</v>
      </c>
      <c r="S56" s="1100"/>
      <c r="T56" s="1100"/>
      <c r="U56" s="1100"/>
      <c r="V56" s="1101"/>
    </row>
    <row r="57" spans="1:25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00"/>
      <c r="S57" s="1100"/>
      <c r="T57" s="1100"/>
      <c r="U57" s="1100"/>
      <c r="V57" s="1101"/>
    </row>
    <row r="58" spans="1:25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883"/>
      <c r="S58" s="883"/>
      <c r="T58" s="883"/>
      <c r="U58" s="883"/>
      <c r="V58" s="885"/>
    </row>
    <row r="59" spans="1:25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20"/>
    </row>
    <row r="60" spans="1:25">
      <c r="A60" s="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20"/>
    </row>
    <row r="61" spans="1:25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07" t="s">
        <v>40</v>
      </c>
      <c r="S61" s="1107"/>
      <c r="T61" s="1107"/>
      <c r="U61" s="1107"/>
      <c r="V61" s="1108"/>
    </row>
    <row r="62" spans="1:25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00" t="s">
        <v>41</v>
      </c>
      <c r="S62" s="1100"/>
      <c r="T62" s="1100"/>
      <c r="U62" s="1100"/>
      <c r="V62" s="1101"/>
    </row>
    <row r="63" spans="1:25">
      <c r="A63" s="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00" t="s">
        <v>42</v>
      </c>
      <c r="S63" s="1100"/>
      <c r="T63" s="1100"/>
      <c r="U63" s="1100"/>
      <c r="V63" s="1101"/>
    </row>
    <row r="64" spans="1:25">
      <c r="A64" s="1102" t="s">
        <v>43</v>
      </c>
      <c r="B64" s="1103"/>
      <c r="C64" s="1103"/>
      <c r="D64" s="1103"/>
      <c r="E64" s="1103"/>
      <c r="F64" s="1103"/>
      <c r="G64" s="1103"/>
      <c r="H64" s="1103"/>
      <c r="I64" s="1103"/>
      <c r="J64" s="1103"/>
      <c r="K64" s="1103"/>
      <c r="L64" s="1103"/>
      <c r="M64" s="1103"/>
      <c r="N64" s="1103"/>
      <c r="O64" s="1103"/>
      <c r="P64" s="1103"/>
      <c r="Q64" s="1103"/>
      <c r="R64" s="1103"/>
      <c r="S64" s="1103"/>
      <c r="T64" s="1103"/>
      <c r="U64" s="1103"/>
      <c r="V64" s="1104"/>
    </row>
    <row r="65" spans="1:22">
      <c r="A65" s="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20"/>
    </row>
    <row r="66" spans="1:22">
      <c r="A66" s="13">
        <v>1</v>
      </c>
      <c r="B66" s="11" t="s">
        <v>915</v>
      </c>
      <c r="C66" s="11"/>
      <c r="D66" s="11"/>
      <c r="E66" s="11"/>
      <c r="F66" s="11"/>
      <c r="G66" s="11"/>
      <c r="H66" s="11"/>
      <c r="I66" s="11"/>
      <c r="J66" s="11"/>
      <c r="K66" s="11"/>
      <c r="L66" s="11" t="s">
        <v>555</v>
      </c>
      <c r="M66" s="11"/>
      <c r="N66" s="11"/>
      <c r="O66" s="11"/>
      <c r="P66" s="11"/>
      <c r="Q66" s="11"/>
      <c r="R66" s="11" t="s">
        <v>44</v>
      </c>
      <c r="S66" s="11"/>
      <c r="T66" s="11"/>
      <c r="U66" s="11"/>
      <c r="V66" s="20"/>
    </row>
    <row r="67" spans="1:22">
      <c r="A67" s="13"/>
      <c r="B67" s="11" t="s">
        <v>45</v>
      </c>
      <c r="C67" s="11"/>
      <c r="D67" s="11"/>
      <c r="E67" s="11"/>
      <c r="F67" s="11"/>
      <c r="G67" s="11"/>
      <c r="H67" s="11"/>
      <c r="I67" s="11"/>
      <c r="J67" s="11"/>
      <c r="K67" s="11"/>
      <c r="L67" s="11" t="s">
        <v>556</v>
      </c>
      <c r="M67" s="11"/>
      <c r="N67" s="11"/>
      <c r="O67" s="11"/>
      <c r="P67" s="11"/>
      <c r="Q67" s="11"/>
      <c r="R67" s="11"/>
      <c r="S67" s="11"/>
      <c r="T67" s="11"/>
      <c r="U67" s="11"/>
      <c r="V67" s="20"/>
    </row>
    <row r="68" spans="1:22">
      <c r="A68" s="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20"/>
    </row>
    <row r="69" spans="1:22">
      <c r="A69" s="13">
        <v>2</v>
      </c>
      <c r="B69" s="11" t="s">
        <v>46</v>
      </c>
      <c r="C69" s="11"/>
      <c r="D69" s="11"/>
      <c r="E69" s="11"/>
      <c r="F69" s="11"/>
      <c r="G69" s="11"/>
      <c r="H69" s="11"/>
      <c r="I69" s="11"/>
      <c r="J69" s="11"/>
      <c r="K69" s="11"/>
      <c r="L69" s="1105" t="s">
        <v>849</v>
      </c>
      <c r="M69" s="1105"/>
      <c r="N69" s="1105"/>
      <c r="O69" s="1105"/>
      <c r="P69" s="1105"/>
      <c r="Q69" s="1105"/>
      <c r="R69" s="1105"/>
      <c r="S69" s="11" t="s">
        <v>812</v>
      </c>
      <c r="T69" s="11"/>
      <c r="U69" s="11"/>
      <c r="V69" s="20"/>
    </row>
    <row r="70" spans="1:22">
      <c r="A70" s="13"/>
      <c r="B70" s="11" t="s">
        <v>45</v>
      </c>
      <c r="C70" s="11"/>
      <c r="D70" s="11"/>
      <c r="E70" s="11"/>
      <c r="F70" s="11"/>
      <c r="G70" s="11"/>
      <c r="H70" s="11"/>
      <c r="I70" s="11"/>
      <c r="J70" s="11"/>
      <c r="K70" s="11"/>
      <c r="L70" s="1105" t="s">
        <v>1095</v>
      </c>
      <c r="M70" s="1106"/>
      <c r="N70" s="1106"/>
      <c r="O70" s="1106"/>
      <c r="P70" s="1106"/>
      <c r="Q70" s="1106"/>
      <c r="R70" s="1106"/>
      <c r="S70" s="11"/>
      <c r="T70" s="11"/>
      <c r="U70" s="11"/>
      <c r="V70" s="20"/>
    </row>
    <row r="71" spans="1:22" ht="15.75" thickBot="1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2"/>
    </row>
  </sheetData>
  <mergeCells count="96">
    <mergeCell ref="T22:V22"/>
    <mergeCell ref="R62:V62"/>
    <mergeCell ref="R63:V63"/>
    <mergeCell ref="A64:V64"/>
    <mergeCell ref="L69:R69"/>
    <mergeCell ref="R55:V55"/>
    <mergeCell ref="R56:V56"/>
    <mergeCell ref="R57:V57"/>
    <mergeCell ref="S42:T42"/>
    <mergeCell ref="U42:V42"/>
    <mergeCell ref="A44:G44"/>
    <mergeCell ref="I44:L44"/>
    <mergeCell ref="M44:N44"/>
    <mergeCell ref="O44:P44"/>
    <mergeCell ref="Q44:R44"/>
    <mergeCell ref="S44:T44"/>
    <mergeCell ref="L70:R70"/>
    <mergeCell ref="U45:V45"/>
    <mergeCell ref="A46:H46"/>
    <mergeCell ref="M46:N46"/>
    <mergeCell ref="O46:P46"/>
    <mergeCell ref="Q46:R46"/>
    <mergeCell ref="S46:T46"/>
    <mergeCell ref="A45:H45"/>
    <mergeCell ref="M45:N45"/>
    <mergeCell ref="O45:P45"/>
    <mergeCell ref="Q45:R45"/>
    <mergeCell ref="S45:T45"/>
    <mergeCell ref="R61:V61"/>
    <mergeCell ref="U46:V46"/>
    <mergeCell ref="R53:V53"/>
    <mergeCell ref="R54:V54"/>
    <mergeCell ref="U44:V44"/>
    <mergeCell ref="A42:H42"/>
    <mergeCell ref="I42:L42"/>
    <mergeCell ref="M42:N42"/>
    <mergeCell ref="O42:P42"/>
    <mergeCell ref="Q42:R42"/>
    <mergeCell ref="AB41:AC41"/>
    <mergeCell ref="AB39:AC39"/>
    <mergeCell ref="A40:H40"/>
    <mergeCell ref="I40:L40"/>
    <mergeCell ref="M40:T40"/>
    <mergeCell ref="U40:V40"/>
    <mergeCell ref="AB40:AC40"/>
    <mergeCell ref="M41:N41"/>
    <mergeCell ref="O41:P41"/>
    <mergeCell ref="Q41:R41"/>
    <mergeCell ref="S41:T41"/>
    <mergeCell ref="AB38:AC38"/>
    <mergeCell ref="A30:J30"/>
    <mergeCell ref="T30:V30"/>
    <mergeCell ref="A31:J31"/>
    <mergeCell ref="T31:V31"/>
    <mergeCell ref="T32:V32"/>
    <mergeCell ref="T33:V33"/>
    <mergeCell ref="T34:V34"/>
    <mergeCell ref="A35:S35"/>
    <mergeCell ref="T35:V35"/>
    <mergeCell ref="A37:V37"/>
    <mergeCell ref="A38:V38"/>
    <mergeCell ref="A29:J29"/>
    <mergeCell ref="T29:V29"/>
    <mergeCell ref="T17:V17"/>
    <mergeCell ref="T18:V18"/>
    <mergeCell ref="T19:V19"/>
    <mergeCell ref="A24:J24"/>
    <mergeCell ref="T24:V24"/>
    <mergeCell ref="A25:J25"/>
    <mergeCell ref="T25:V25"/>
    <mergeCell ref="A26:J26"/>
    <mergeCell ref="T26:V26"/>
    <mergeCell ref="T27:V27"/>
    <mergeCell ref="A28:J28"/>
    <mergeCell ref="T28:V28"/>
    <mergeCell ref="T20:V20"/>
    <mergeCell ref="T21:V21"/>
    <mergeCell ref="T16:V16"/>
    <mergeCell ref="A10:V10"/>
    <mergeCell ref="A11:V11"/>
    <mergeCell ref="A12:J12"/>
    <mergeCell ref="K12:S12"/>
    <mergeCell ref="T12:V12"/>
    <mergeCell ref="A13:J13"/>
    <mergeCell ref="T13:V13"/>
    <mergeCell ref="A14:J14"/>
    <mergeCell ref="K14:S14"/>
    <mergeCell ref="T14:V14"/>
    <mergeCell ref="A15:J15"/>
    <mergeCell ref="T15:V15"/>
    <mergeCell ref="A6:V6"/>
    <mergeCell ref="A1:T2"/>
    <mergeCell ref="U1:V1"/>
    <mergeCell ref="A3:T4"/>
    <mergeCell ref="U3:V3"/>
    <mergeCell ref="A5:V5"/>
  </mergeCells>
  <pageMargins left="0.43307086614173201" right="0.43307086614173201" top="0.70866141732283505" bottom="0.70866141732283505" header="0.31496062992126" footer="0.31496062992126"/>
  <pageSetup paperSize="5" scale="75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97"/>
  <sheetViews>
    <sheetView view="pageBreakPreview" topLeftCell="A67" zoomScale="90" zoomScaleSheetLayoutView="90" workbookViewId="0">
      <selection activeCell="O44" sqref="O44"/>
    </sheetView>
  </sheetViews>
  <sheetFormatPr defaultRowHeight="15"/>
  <cols>
    <col min="1" max="1" width="4.28515625" customWidth="1"/>
    <col min="2" max="2" width="8" customWidth="1"/>
    <col min="6" max="6" width="5.140625" customWidth="1"/>
    <col min="7" max="7" width="9" customWidth="1"/>
    <col min="8" max="8" width="7.7109375" customWidth="1"/>
    <col min="9" max="9" width="7.5703125" customWidth="1"/>
    <col min="10" max="10" width="16" customWidth="1"/>
    <col min="11" max="11" width="15.28515625" customWidth="1"/>
    <col min="12" max="12" width="16.28515625" customWidth="1"/>
    <col min="13" max="13" width="19" customWidth="1"/>
    <col min="14" max="14" width="20" customWidth="1"/>
    <col min="15" max="15" width="16.85546875" customWidth="1"/>
    <col min="17" max="17" width="23.42578125" customWidth="1"/>
  </cols>
  <sheetData>
    <row r="1" spans="1:15">
      <c r="A1" s="1161" t="s">
        <v>0</v>
      </c>
      <c r="B1" s="1162"/>
      <c r="C1" s="1162"/>
      <c r="D1" s="1162"/>
      <c r="E1" s="1162"/>
      <c r="F1" s="1162"/>
      <c r="G1" s="1162"/>
      <c r="H1" s="1162"/>
      <c r="I1" s="1205" t="s">
        <v>1</v>
      </c>
      <c r="J1" s="1206"/>
      <c r="K1" s="1206"/>
      <c r="L1" s="1206"/>
      <c r="M1" s="1206"/>
      <c r="N1" s="1207"/>
    </row>
    <row r="2" spans="1:15">
      <c r="A2" s="1164" t="s">
        <v>47</v>
      </c>
      <c r="B2" s="1165"/>
      <c r="C2" s="1165"/>
      <c r="D2" s="1165"/>
      <c r="E2" s="1165"/>
      <c r="F2" s="1165"/>
      <c r="G2" s="1165"/>
      <c r="H2" s="1165"/>
      <c r="I2" s="1208" t="s">
        <v>48</v>
      </c>
      <c r="J2" s="1209"/>
      <c r="K2" s="1209"/>
      <c r="L2" s="1209"/>
      <c r="M2" s="1209"/>
      <c r="N2" s="1210"/>
    </row>
    <row r="3" spans="1:15">
      <c r="A3" s="1211" t="s">
        <v>4</v>
      </c>
      <c r="B3" s="1212"/>
      <c r="C3" s="1212"/>
      <c r="D3" s="1212"/>
      <c r="E3" s="1212"/>
      <c r="F3" s="1212"/>
      <c r="G3" s="1212"/>
      <c r="H3" s="1213"/>
      <c r="I3" s="1208" t="s">
        <v>49</v>
      </c>
      <c r="J3" s="1209"/>
      <c r="K3" s="1209"/>
      <c r="L3" s="1209"/>
      <c r="M3" s="1209"/>
      <c r="N3" s="1210"/>
    </row>
    <row r="4" spans="1:15">
      <c r="A4" s="1195" t="s">
        <v>922</v>
      </c>
      <c r="B4" s="1196"/>
      <c r="C4" s="1196"/>
      <c r="D4" s="1196"/>
      <c r="E4" s="1196"/>
      <c r="F4" s="1196"/>
      <c r="G4" s="1196"/>
      <c r="H4" s="1197"/>
      <c r="I4" s="205"/>
      <c r="J4" s="206"/>
      <c r="K4" s="206"/>
      <c r="L4" s="206"/>
      <c r="M4" s="206"/>
      <c r="N4" s="1005"/>
    </row>
    <row r="5" spans="1:15">
      <c r="A5" s="150" t="s">
        <v>5</v>
      </c>
      <c r="B5" s="151"/>
      <c r="C5" s="151"/>
      <c r="D5" s="151"/>
      <c r="E5" s="151" t="s">
        <v>6</v>
      </c>
      <c r="F5" s="151" t="s">
        <v>559</v>
      </c>
      <c r="G5" s="151"/>
      <c r="H5" s="1204" t="s">
        <v>1045</v>
      </c>
      <c r="I5" s="1204"/>
      <c r="J5" s="1204"/>
      <c r="K5" s="151"/>
      <c r="L5" s="151"/>
      <c r="M5" s="151"/>
      <c r="N5" s="152"/>
    </row>
    <row r="6" spans="1:15">
      <c r="A6" s="150" t="s">
        <v>9</v>
      </c>
      <c r="B6" s="151"/>
      <c r="C6" s="151"/>
      <c r="D6" s="151"/>
      <c r="E6" s="151" t="s">
        <v>6</v>
      </c>
      <c r="F6" s="151" t="s">
        <v>652</v>
      </c>
      <c r="G6" s="151"/>
      <c r="H6" s="1249" t="s">
        <v>11</v>
      </c>
      <c r="I6" s="1249"/>
      <c r="J6" s="1249"/>
      <c r="K6" s="151"/>
      <c r="L6" s="151"/>
      <c r="M6" s="151"/>
      <c r="N6" s="152"/>
    </row>
    <row r="7" spans="1:15">
      <c r="A7" s="1045" t="s">
        <v>50</v>
      </c>
      <c r="B7" s="1046"/>
      <c r="C7" s="1046"/>
      <c r="D7" s="1046"/>
      <c r="E7" s="1046"/>
      <c r="F7" s="1046"/>
      <c r="G7" s="1046"/>
      <c r="H7" s="1046"/>
      <c r="I7" s="1046"/>
      <c r="J7" s="1046"/>
      <c r="K7" s="1046"/>
      <c r="L7" s="1046"/>
      <c r="M7" s="1046"/>
      <c r="N7" s="1047"/>
    </row>
    <row r="8" spans="1:15">
      <c r="A8" s="1048" t="s">
        <v>51</v>
      </c>
      <c r="B8" s="1049"/>
      <c r="C8" s="1049"/>
      <c r="D8" s="1049"/>
      <c r="E8" s="1049"/>
      <c r="F8" s="1049"/>
      <c r="G8" s="1049"/>
      <c r="H8" s="1049"/>
      <c r="I8" s="1049"/>
      <c r="J8" s="1049"/>
      <c r="K8" s="1049"/>
      <c r="L8" s="1049"/>
      <c r="M8" s="1049"/>
      <c r="N8" s="1050"/>
    </row>
    <row r="9" spans="1:15">
      <c r="A9" s="1051" t="s">
        <v>52</v>
      </c>
      <c r="B9" s="1052"/>
      <c r="C9" s="1053" t="s">
        <v>14</v>
      </c>
      <c r="D9" s="1040"/>
      <c r="E9" s="1040"/>
      <c r="F9" s="1041"/>
      <c r="G9" s="163" t="s">
        <v>53</v>
      </c>
      <c r="H9" s="163" t="s">
        <v>54</v>
      </c>
      <c r="I9" s="163" t="s">
        <v>55</v>
      </c>
      <c r="J9" s="1054" t="s">
        <v>56</v>
      </c>
      <c r="K9" s="1055"/>
      <c r="L9" s="1055"/>
      <c r="M9" s="1052"/>
      <c r="N9" s="218" t="s">
        <v>15</v>
      </c>
    </row>
    <row r="10" spans="1:15">
      <c r="A10" s="219" t="s">
        <v>57</v>
      </c>
      <c r="B10" s="163" t="s">
        <v>58</v>
      </c>
      <c r="C10" s="155"/>
      <c r="D10" s="151"/>
      <c r="E10" s="151"/>
      <c r="F10" s="156"/>
      <c r="G10" s="165"/>
      <c r="H10" s="166" t="s">
        <v>59</v>
      </c>
      <c r="I10" s="166" t="s">
        <v>60</v>
      </c>
      <c r="J10" s="808" t="s">
        <v>32</v>
      </c>
      <c r="K10" s="811" t="s">
        <v>33</v>
      </c>
      <c r="L10" s="808" t="s">
        <v>34</v>
      </c>
      <c r="M10" s="808" t="s">
        <v>35</v>
      </c>
      <c r="N10" s="220" t="s">
        <v>61</v>
      </c>
    </row>
    <row r="11" spans="1:15">
      <c r="A11" s="221"/>
      <c r="B11" s="167"/>
      <c r="C11" s="161"/>
      <c r="D11" s="154"/>
      <c r="E11" s="154"/>
      <c r="F11" s="162"/>
      <c r="G11" s="167"/>
      <c r="H11" s="167" t="s">
        <v>62</v>
      </c>
      <c r="I11" s="167"/>
      <c r="J11" s="161"/>
      <c r="K11" s="161"/>
      <c r="L11" s="161"/>
      <c r="M11" s="161"/>
      <c r="N11" s="222"/>
    </row>
    <row r="12" spans="1:15">
      <c r="A12" s="223">
        <v>1</v>
      </c>
      <c r="B12" s="807">
        <v>2</v>
      </c>
      <c r="C12" s="1054">
        <v>3</v>
      </c>
      <c r="D12" s="1055"/>
      <c r="E12" s="1055"/>
      <c r="F12" s="1052"/>
      <c r="G12" s="168">
        <v>4</v>
      </c>
      <c r="H12" s="807">
        <v>5</v>
      </c>
      <c r="I12" s="168">
        <v>6</v>
      </c>
      <c r="J12" s="807">
        <v>7</v>
      </c>
      <c r="K12" s="168">
        <v>8</v>
      </c>
      <c r="L12" s="807">
        <v>9</v>
      </c>
      <c r="M12" s="168">
        <v>10</v>
      </c>
      <c r="N12" s="224">
        <v>11</v>
      </c>
    </row>
    <row r="13" spans="1:15" ht="12.75" customHeight="1">
      <c r="A13" s="150"/>
      <c r="B13" s="164"/>
      <c r="C13" s="151"/>
      <c r="D13" s="151"/>
      <c r="E13" s="151"/>
      <c r="F13" s="151"/>
      <c r="G13" s="164"/>
      <c r="H13" s="151"/>
      <c r="I13" s="164"/>
      <c r="J13" s="151"/>
      <c r="K13" s="165"/>
      <c r="L13" s="151"/>
      <c r="M13" s="165"/>
      <c r="N13" s="152"/>
    </row>
    <row r="14" spans="1:15" ht="24.75" customHeight="1">
      <c r="A14" s="225" t="s">
        <v>63</v>
      </c>
      <c r="B14" s="171"/>
      <c r="C14" s="1198" t="s">
        <v>64</v>
      </c>
      <c r="D14" s="1199"/>
      <c r="E14" s="1199"/>
      <c r="F14" s="1200"/>
      <c r="G14" s="171"/>
      <c r="H14" s="168"/>
      <c r="I14" s="168"/>
      <c r="J14" s="176">
        <f>SUM(J15:J27)</f>
        <v>103585000</v>
      </c>
      <c r="K14" s="176">
        <f>SUM(K15:K27)</f>
        <v>103585000</v>
      </c>
      <c r="L14" s="176">
        <f>SUM(L15:L27)</f>
        <v>103585000</v>
      </c>
      <c r="M14" s="176">
        <f>SUM(M15:M27)</f>
        <v>103585000</v>
      </c>
      <c r="N14" s="226">
        <f>J14+K14+L14+M14</f>
        <v>414340000</v>
      </c>
      <c r="O14" s="78"/>
    </row>
    <row r="15" spans="1:15" ht="22.5" customHeight="1">
      <c r="A15" s="180"/>
      <c r="B15" s="173" t="s">
        <v>65</v>
      </c>
      <c r="C15" s="1201" t="s">
        <v>66</v>
      </c>
      <c r="D15" s="1202"/>
      <c r="E15" s="1202"/>
      <c r="F15" s="1203"/>
      <c r="G15" s="171" t="s">
        <v>67</v>
      </c>
      <c r="H15" s="172">
        <v>1</v>
      </c>
      <c r="I15" s="168" t="s">
        <v>68</v>
      </c>
      <c r="J15" s="177">
        <v>354000</v>
      </c>
      <c r="K15" s="177">
        <v>354000</v>
      </c>
      <c r="L15" s="177">
        <v>354000</v>
      </c>
      <c r="M15" s="177">
        <v>354000</v>
      </c>
      <c r="N15" s="181">
        <f>J15+K15+L15+M15</f>
        <v>1416000</v>
      </c>
      <c r="O15" s="78"/>
    </row>
    <row r="16" spans="1:15" ht="27" customHeight="1">
      <c r="A16" s="180"/>
      <c r="B16" s="173" t="s">
        <v>69</v>
      </c>
      <c r="C16" s="1189" t="s">
        <v>445</v>
      </c>
      <c r="D16" s="1190"/>
      <c r="E16" s="1190"/>
      <c r="F16" s="1191"/>
      <c r="G16" s="171" t="s">
        <v>67</v>
      </c>
      <c r="H16" s="172">
        <v>1</v>
      </c>
      <c r="I16" s="168" t="s">
        <v>68</v>
      </c>
      <c r="J16" s="177">
        <v>14250000</v>
      </c>
      <c r="K16" s="177">
        <v>14250000</v>
      </c>
      <c r="L16" s="177">
        <v>14250000</v>
      </c>
      <c r="M16" s="177">
        <v>14250000</v>
      </c>
      <c r="N16" s="181">
        <f t="shared" ref="N16:N27" si="0">J16+K16+L16+M16</f>
        <v>57000000</v>
      </c>
      <c r="O16" s="78"/>
    </row>
    <row r="17" spans="1:17" ht="24" customHeight="1">
      <c r="A17" s="180"/>
      <c r="B17" s="173" t="s">
        <v>70</v>
      </c>
      <c r="C17" s="1186" t="s">
        <v>71</v>
      </c>
      <c r="D17" s="1187"/>
      <c r="E17" s="1187"/>
      <c r="F17" s="1188"/>
      <c r="G17" s="171" t="s">
        <v>67</v>
      </c>
      <c r="H17" s="172">
        <v>1</v>
      </c>
      <c r="I17" s="168" t="s">
        <v>68</v>
      </c>
      <c r="J17" s="177">
        <v>19125000</v>
      </c>
      <c r="K17" s="177">
        <v>19125000</v>
      </c>
      <c r="L17" s="177">
        <v>19125000</v>
      </c>
      <c r="M17" s="177">
        <v>19125000</v>
      </c>
      <c r="N17" s="181">
        <f t="shared" si="0"/>
        <v>76500000</v>
      </c>
      <c r="O17" s="78"/>
    </row>
    <row r="18" spans="1:17" ht="20.25" customHeight="1">
      <c r="A18" s="180"/>
      <c r="B18" s="173" t="s">
        <v>72</v>
      </c>
      <c r="C18" s="1192" t="s">
        <v>73</v>
      </c>
      <c r="D18" s="1193"/>
      <c r="E18" s="1193"/>
      <c r="F18" s="1194"/>
      <c r="G18" s="171" t="s">
        <v>67</v>
      </c>
      <c r="H18" s="172">
        <v>1</v>
      </c>
      <c r="I18" s="168" t="s">
        <v>68</v>
      </c>
      <c r="J18" s="177">
        <v>4574750</v>
      </c>
      <c r="K18" s="177">
        <v>4574750</v>
      </c>
      <c r="L18" s="177">
        <v>4574750</v>
      </c>
      <c r="M18" s="177">
        <v>4574750</v>
      </c>
      <c r="N18" s="181">
        <f t="shared" si="0"/>
        <v>18299000</v>
      </c>
      <c r="O18" s="78"/>
    </row>
    <row r="19" spans="1:17" ht="23.25" customHeight="1">
      <c r="A19" s="180"/>
      <c r="B19" s="173" t="s">
        <v>74</v>
      </c>
      <c r="C19" s="1186" t="s">
        <v>75</v>
      </c>
      <c r="D19" s="1187"/>
      <c r="E19" s="1187"/>
      <c r="F19" s="1188"/>
      <c r="G19" s="171" t="s">
        <v>67</v>
      </c>
      <c r="H19" s="174">
        <v>1</v>
      </c>
      <c r="I19" s="175" t="s">
        <v>68</v>
      </c>
      <c r="J19" s="178">
        <v>4479650</v>
      </c>
      <c r="K19" s="178">
        <v>4479650</v>
      </c>
      <c r="L19" s="178">
        <v>4479650</v>
      </c>
      <c r="M19" s="178">
        <v>4479650</v>
      </c>
      <c r="N19" s="227">
        <f t="shared" si="0"/>
        <v>17918600</v>
      </c>
      <c r="O19" s="78"/>
    </row>
    <row r="20" spans="1:17" ht="27" customHeight="1">
      <c r="A20" s="180"/>
      <c r="B20" s="173" t="s">
        <v>76</v>
      </c>
      <c r="C20" s="1189" t="s">
        <v>77</v>
      </c>
      <c r="D20" s="1190"/>
      <c r="E20" s="1190"/>
      <c r="F20" s="1191"/>
      <c r="G20" s="171" t="s">
        <v>67</v>
      </c>
      <c r="H20" s="172">
        <v>1</v>
      </c>
      <c r="I20" s="168" t="s">
        <v>68</v>
      </c>
      <c r="J20" s="178">
        <v>1201100</v>
      </c>
      <c r="K20" s="178">
        <v>1201100</v>
      </c>
      <c r="L20" s="178">
        <v>1201100</v>
      </c>
      <c r="M20" s="178">
        <v>1201100</v>
      </c>
      <c r="N20" s="227">
        <f>J20+K20+L20+M20</f>
        <v>4804400</v>
      </c>
      <c r="O20" s="78"/>
      <c r="Q20">
        <f>1337000/2</f>
        <v>668500</v>
      </c>
    </row>
    <row r="21" spans="1:17" ht="25.5" customHeight="1">
      <c r="A21" s="180"/>
      <c r="B21" s="173" t="s">
        <v>78</v>
      </c>
      <c r="C21" s="1186" t="s">
        <v>79</v>
      </c>
      <c r="D21" s="1187"/>
      <c r="E21" s="1187"/>
      <c r="F21" s="1188"/>
      <c r="G21" s="171" t="s">
        <v>67</v>
      </c>
      <c r="H21" s="172">
        <v>1</v>
      </c>
      <c r="I21" s="168" t="s">
        <v>68</v>
      </c>
      <c r="J21" s="178">
        <v>3216000</v>
      </c>
      <c r="K21" s="178">
        <v>3216000</v>
      </c>
      <c r="L21" s="178">
        <v>3216000</v>
      </c>
      <c r="M21" s="178">
        <v>3216000</v>
      </c>
      <c r="N21" s="227">
        <f t="shared" si="0"/>
        <v>12864000</v>
      </c>
      <c r="O21" s="78"/>
    </row>
    <row r="22" spans="1:17" ht="24.75" customHeight="1">
      <c r="A22" s="180"/>
      <c r="B22" s="173" t="s">
        <v>80</v>
      </c>
      <c r="C22" s="1217" t="s">
        <v>81</v>
      </c>
      <c r="D22" s="1218"/>
      <c r="E22" s="1218"/>
      <c r="F22" s="1219"/>
      <c r="G22" s="171" t="s">
        <v>67</v>
      </c>
      <c r="H22" s="174">
        <v>1</v>
      </c>
      <c r="I22" s="175" t="s">
        <v>68</v>
      </c>
      <c r="J22" s="178">
        <v>945000</v>
      </c>
      <c r="K22" s="178">
        <v>945000</v>
      </c>
      <c r="L22" s="178">
        <v>945000</v>
      </c>
      <c r="M22" s="178">
        <v>945000</v>
      </c>
      <c r="N22" s="227">
        <f t="shared" si="0"/>
        <v>3780000</v>
      </c>
      <c r="O22" s="78"/>
    </row>
    <row r="23" spans="1:17" ht="20.25" customHeight="1">
      <c r="A23" s="180"/>
      <c r="B23" s="170" t="s">
        <v>82</v>
      </c>
      <c r="C23" s="1220" t="s">
        <v>83</v>
      </c>
      <c r="D23" s="1221"/>
      <c r="E23" s="1221"/>
      <c r="F23" s="1222"/>
      <c r="G23" s="171" t="s">
        <v>67</v>
      </c>
      <c r="H23" s="172">
        <v>1</v>
      </c>
      <c r="I23" s="168" t="s">
        <v>68</v>
      </c>
      <c r="J23" s="177">
        <v>2550000</v>
      </c>
      <c r="K23" s="177">
        <v>2550000</v>
      </c>
      <c r="L23" s="177">
        <v>2550000</v>
      </c>
      <c r="M23" s="177">
        <v>2550000</v>
      </c>
      <c r="N23" s="181">
        <f t="shared" si="0"/>
        <v>10200000</v>
      </c>
      <c r="O23" s="78"/>
    </row>
    <row r="24" spans="1:17" ht="27" customHeight="1">
      <c r="A24" s="180"/>
      <c r="B24" s="173" t="s">
        <v>84</v>
      </c>
      <c r="C24" s="1223" t="s">
        <v>85</v>
      </c>
      <c r="D24" s="1224"/>
      <c r="E24" s="1224"/>
      <c r="F24" s="1225"/>
      <c r="G24" s="171" t="s">
        <v>67</v>
      </c>
      <c r="H24" s="172">
        <v>1</v>
      </c>
      <c r="I24" s="168" t="s">
        <v>68</v>
      </c>
      <c r="J24" s="177">
        <v>32500000</v>
      </c>
      <c r="K24" s="177">
        <v>32500000</v>
      </c>
      <c r="L24" s="177">
        <v>32500000</v>
      </c>
      <c r="M24" s="177">
        <v>32500000</v>
      </c>
      <c r="N24" s="181">
        <f t="shared" si="0"/>
        <v>130000000</v>
      </c>
      <c r="O24" s="78"/>
    </row>
    <row r="25" spans="1:17" ht="22.5" customHeight="1">
      <c r="A25" s="180"/>
      <c r="B25" s="173" t="s">
        <v>86</v>
      </c>
      <c r="C25" s="1223" t="s">
        <v>87</v>
      </c>
      <c r="D25" s="1224"/>
      <c r="E25" s="1224"/>
      <c r="F25" s="1225"/>
      <c r="G25" s="171" t="s">
        <v>67</v>
      </c>
      <c r="H25" s="172">
        <v>1</v>
      </c>
      <c r="I25" s="168" t="s">
        <v>68</v>
      </c>
      <c r="J25" s="177">
        <v>2500000</v>
      </c>
      <c r="K25" s="177">
        <v>2500000</v>
      </c>
      <c r="L25" s="177">
        <v>2500000</v>
      </c>
      <c r="M25" s="177">
        <v>2500000</v>
      </c>
      <c r="N25" s="181">
        <f t="shared" si="0"/>
        <v>10000000</v>
      </c>
      <c r="O25" s="78"/>
    </row>
    <row r="26" spans="1:17" ht="24" customHeight="1">
      <c r="A26" s="180"/>
      <c r="B26" s="173" t="s">
        <v>88</v>
      </c>
      <c r="C26" s="1214" t="s">
        <v>89</v>
      </c>
      <c r="D26" s="1215"/>
      <c r="E26" s="1215"/>
      <c r="F26" s="1216"/>
      <c r="G26" s="171" t="s">
        <v>67</v>
      </c>
      <c r="H26" s="174">
        <v>1</v>
      </c>
      <c r="I26" s="175" t="s">
        <v>68</v>
      </c>
      <c r="J26" s="178">
        <v>12210000</v>
      </c>
      <c r="K26" s="178">
        <v>12210000</v>
      </c>
      <c r="L26" s="178">
        <v>12210000</v>
      </c>
      <c r="M26" s="178">
        <v>12210000</v>
      </c>
      <c r="N26" s="227">
        <f t="shared" si="0"/>
        <v>48840000</v>
      </c>
      <c r="O26" s="78"/>
    </row>
    <row r="27" spans="1:17" ht="23.25" customHeight="1">
      <c r="A27" s="180"/>
      <c r="B27" s="173" t="s">
        <v>90</v>
      </c>
      <c r="C27" s="1214" t="s">
        <v>91</v>
      </c>
      <c r="D27" s="1215"/>
      <c r="E27" s="1215"/>
      <c r="F27" s="1216"/>
      <c r="G27" s="171" t="s">
        <v>67</v>
      </c>
      <c r="H27" s="172">
        <v>1</v>
      </c>
      <c r="I27" s="168" t="s">
        <v>68</v>
      </c>
      <c r="J27" s="177">
        <v>5679500</v>
      </c>
      <c r="K27" s="177">
        <v>5679500</v>
      </c>
      <c r="L27" s="177">
        <v>5679500</v>
      </c>
      <c r="M27" s="177">
        <v>5679500</v>
      </c>
      <c r="N27" s="181">
        <f t="shared" si="0"/>
        <v>22718000</v>
      </c>
      <c r="O27" s="78"/>
    </row>
    <row r="28" spans="1:17" ht="26.25" customHeight="1">
      <c r="A28" s="225" t="s">
        <v>92</v>
      </c>
      <c r="B28" s="171"/>
      <c r="C28" s="1198" t="s">
        <v>93</v>
      </c>
      <c r="D28" s="1199"/>
      <c r="E28" s="1199"/>
      <c r="F28" s="1200"/>
      <c r="G28" s="171"/>
      <c r="H28" s="168"/>
      <c r="I28" s="168"/>
      <c r="J28" s="176">
        <f>J29+J30+J31+J32+J33</f>
        <v>71109250</v>
      </c>
      <c r="K28" s="176">
        <f>K29+K30+K31+K32+K33</f>
        <v>28759250</v>
      </c>
      <c r="L28" s="176">
        <f>L29+L30+L31+L32+L33</f>
        <v>114459250</v>
      </c>
      <c r="M28" s="176">
        <f>M29+M30+M31+M32+M33</f>
        <v>21109250</v>
      </c>
      <c r="N28" s="226">
        <f>N29+N30+N31+N32+N33</f>
        <v>235437000</v>
      </c>
      <c r="O28" s="78"/>
    </row>
    <row r="29" spans="1:17" ht="20.25" customHeight="1">
      <c r="A29" s="225"/>
      <c r="B29" s="173" t="s">
        <v>1048</v>
      </c>
      <c r="C29" s="1217" t="s">
        <v>1049</v>
      </c>
      <c r="D29" s="1218"/>
      <c r="E29" s="1218"/>
      <c r="F29" s="1219"/>
      <c r="G29" s="171" t="s">
        <v>67</v>
      </c>
      <c r="H29" s="174">
        <v>1</v>
      </c>
      <c r="I29" s="175" t="s">
        <v>68</v>
      </c>
      <c r="J29" s="912">
        <v>50000000</v>
      </c>
      <c r="K29" s="912">
        <v>0</v>
      </c>
      <c r="L29" s="912">
        <v>0</v>
      </c>
      <c r="M29" s="912">
        <v>0</v>
      </c>
      <c r="N29" s="913">
        <f t="shared" ref="N29:N34" si="1">J29+K29+L29+M29</f>
        <v>50000000</v>
      </c>
      <c r="O29" s="78"/>
    </row>
    <row r="30" spans="1:17" ht="19.5" customHeight="1">
      <c r="A30" s="180"/>
      <c r="B30" s="173" t="s">
        <v>94</v>
      </c>
      <c r="C30" s="1214" t="s">
        <v>95</v>
      </c>
      <c r="D30" s="1215"/>
      <c r="E30" s="1215"/>
      <c r="F30" s="1216"/>
      <c r="G30" s="171" t="s">
        <v>67</v>
      </c>
      <c r="H30" s="174">
        <v>1</v>
      </c>
      <c r="I30" s="175" t="s">
        <v>68</v>
      </c>
      <c r="J30" s="178">
        <v>6086750</v>
      </c>
      <c r="K30" s="178">
        <v>6086750</v>
      </c>
      <c r="L30" s="178">
        <f>K30</f>
        <v>6086750</v>
      </c>
      <c r="M30" s="178">
        <f>L30</f>
        <v>6086750</v>
      </c>
      <c r="N30" s="227">
        <f t="shared" si="1"/>
        <v>24347000</v>
      </c>
      <c r="O30" s="78"/>
    </row>
    <row r="31" spans="1:17" ht="28.5" customHeight="1">
      <c r="A31" s="180"/>
      <c r="B31" s="173" t="s">
        <v>96</v>
      </c>
      <c r="C31" s="1189" t="s">
        <v>97</v>
      </c>
      <c r="D31" s="1190"/>
      <c r="E31" s="1190"/>
      <c r="F31" s="1191"/>
      <c r="G31" s="171" t="s">
        <v>67</v>
      </c>
      <c r="H31" s="174">
        <v>1</v>
      </c>
      <c r="I31" s="175" t="s">
        <v>68</v>
      </c>
      <c r="J31" s="178">
        <v>13022500</v>
      </c>
      <c r="K31" s="178">
        <v>13022500</v>
      </c>
      <c r="L31" s="178">
        <v>13022500</v>
      </c>
      <c r="M31" s="178">
        <v>13022500</v>
      </c>
      <c r="N31" s="227">
        <f t="shared" si="1"/>
        <v>52090000</v>
      </c>
      <c r="O31" s="78"/>
    </row>
    <row r="32" spans="1:17" ht="23.25" customHeight="1">
      <c r="A32" s="180"/>
      <c r="B32" s="173" t="s">
        <v>98</v>
      </c>
      <c r="C32" s="1214" t="s">
        <v>99</v>
      </c>
      <c r="D32" s="1215"/>
      <c r="E32" s="1215"/>
      <c r="F32" s="1216"/>
      <c r="G32" s="171" t="s">
        <v>67</v>
      </c>
      <c r="H32" s="174">
        <v>1</v>
      </c>
      <c r="I32" s="175" t="s">
        <v>68</v>
      </c>
      <c r="J32" s="178">
        <v>2000000</v>
      </c>
      <c r="K32" s="178">
        <v>2500000</v>
      </c>
      <c r="L32" s="178">
        <v>2500000</v>
      </c>
      <c r="M32" s="178">
        <v>2000000</v>
      </c>
      <c r="N32" s="227">
        <f t="shared" si="1"/>
        <v>9000000</v>
      </c>
      <c r="O32" s="78"/>
    </row>
    <row r="33" spans="1:17" ht="23.25" customHeight="1">
      <c r="A33" s="221"/>
      <c r="B33" s="173" t="s">
        <v>1050</v>
      </c>
      <c r="C33" s="1214" t="s">
        <v>1051</v>
      </c>
      <c r="D33" s="1215"/>
      <c r="E33" s="1215"/>
      <c r="F33" s="1216"/>
      <c r="G33" s="902" t="s">
        <v>67</v>
      </c>
      <c r="H33" s="174">
        <v>1</v>
      </c>
      <c r="I33" s="175" t="s">
        <v>68</v>
      </c>
      <c r="J33" s="343">
        <v>0</v>
      </c>
      <c r="K33" s="343">
        <v>7150000</v>
      </c>
      <c r="L33" s="343">
        <v>92850000</v>
      </c>
      <c r="M33" s="343">
        <v>0</v>
      </c>
      <c r="N33" s="227">
        <f t="shared" ref="N33" si="2">J33+K33+L33+M33</f>
        <v>100000000</v>
      </c>
      <c r="O33" s="78"/>
    </row>
    <row r="34" spans="1:17" ht="24.75" customHeight="1">
      <c r="A34" s="408" t="s">
        <v>842</v>
      </c>
      <c r="B34" s="342"/>
      <c r="C34" s="1071" t="s">
        <v>102</v>
      </c>
      <c r="D34" s="1072"/>
      <c r="E34" s="1072"/>
      <c r="F34" s="1073"/>
      <c r="G34" s="171"/>
      <c r="H34" s="174"/>
      <c r="I34" s="175"/>
      <c r="J34" s="368">
        <f>SUM(J35:J41)</f>
        <v>625000000</v>
      </c>
      <c r="K34" s="368">
        <f>SUM(K35:K41)</f>
        <v>262421118</v>
      </c>
      <c r="L34" s="368">
        <f>SUM(L35:L41)</f>
        <v>0</v>
      </c>
      <c r="M34" s="368">
        <f>SUM(M35:M41)</f>
        <v>0</v>
      </c>
      <c r="N34" s="914">
        <f t="shared" si="1"/>
        <v>887421118</v>
      </c>
      <c r="O34" s="78"/>
    </row>
    <row r="35" spans="1:17" ht="24.75" customHeight="1">
      <c r="A35" s="408"/>
      <c r="B35" s="457">
        <v>15.02</v>
      </c>
      <c r="C35" s="1229" t="s">
        <v>1052</v>
      </c>
      <c r="D35" s="1230"/>
      <c r="E35" s="1230"/>
      <c r="F35" s="1231"/>
      <c r="G35" s="902" t="s">
        <v>67</v>
      </c>
      <c r="H35" s="174">
        <v>1</v>
      </c>
      <c r="I35" s="175" t="s">
        <v>68</v>
      </c>
      <c r="J35" s="343">
        <v>100000000</v>
      </c>
      <c r="K35" s="368">
        <v>0</v>
      </c>
      <c r="L35" s="368">
        <v>0</v>
      </c>
      <c r="M35" s="368">
        <v>0</v>
      </c>
      <c r="N35" s="915">
        <f t="shared" ref="N35:N41" si="3">J35+K35+L35+M35</f>
        <v>100000000</v>
      </c>
      <c r="O35" s="78"/>
    </row>
    <row r="36" spans="1:17" ht="24.75" customHeight="1">
      <c r="A36" s="408"/>
      <c r="B36" s="457">
        <v>15.05</v>
      </c>
      <c r="C36" s="1226" t="s">
        <v>1053</v>
      </c>
      <c r="D36" s="1227"/>
      <c r="E36" s="1227"/>
      <c r="F36" s="1228"/>
      <c r="G36" s="902" t="s">
        <v>67</v>
      </c>
      <c r="H36" s="174">
        <v>1</v>
      </c>
      <c r="I36" s="175" t="s">
        <v>68</v>
      </c>
      <c r="J36" s="343">
        <v>350000000</v>
      </c>
      <c r="K36" s="368"/>
      <c r="L36" s="368"/>
      <c r="M36" s="368"/>
      <c r="N36" s="915">
        <f t="shared" si="3"/>
        <v>350000000</v>
      </c>
      <c r="O36" s="78"/>
    </row>
    <row r="37" spans="1:17" ht="24.75" customHeight="1">
      <c r="A37" s="408"/>
      <c r="B37" s="457">
        <v>15.08</v>
      </c>
      <c r="C37" s="1226" t="s">
        <v>1054</v>
      </c>
      <c r="D37" s="1227"/>
      <c r="E37" s="1227"/>
      <c r="F37" s="1228"/>
      <c r="G37" s="902" t="s">
        <v>67</v>
      </c>
      <c r="H37" s="174">
        <v>1</v>
      </c>
      <c r="I37" s="175" t="s">
        <v>68</v>
      </c>
      <c r="J37" s="343">
        <v>50000000</v>
      </c>
      <c r="K37" s="368">
        <v>0</v>
      </c>
      <c r="L37" s="368">
        <v>0</v>
      </c>
      <c r="M37" s="368">
        <v>0</v>
      </c>
      <c r="N37" s="915">
        <f t="shared" si="3"/>
        <v>50000000</v>
      </c>
      <c r="O37" s="78"/>
    </row>
    <row r="38" spans="1:17" ht="24.75" customHeight="1">
      <c r="A38" s="221"/>
      <c r="B38" s="342" t="s">
        <v>755</v>
      </c>
      <c r="C38" s="1226" t="s">
        <v>1055</v>
      </c>
      <c r="D38" s="1227"/>
      <c r="E38" s="1227"/>
      <c r="F38" s="1228"/>
      <c r="G38" s="902" t="s">
        <v>67</v>
      </c>
      <c r="H38" s="174">
        <v>1</v>
      </c>
      <c r="I38" s="175" t="s">
        <v>68</v>
      </c>
      <c r="J38" s="343">
        <v>100000000</v>
      </c>
      <c r="K38" s="343">
        <v>0</v>
      </c>
      <c r="L38" s="343">
        <v>0</v>
      </c>
      <c r="M38" s="343">
        <v>0</v>
      </c>
      <c r="N38" s="915">
        <f t="shared" si="3"/>
        <v>100000000</v>
      </c>
      <c r="O38" s="78"/>
    </row>
    <row r="39" spans="1:17" ht="24.75" customHeight="1">
      <c r="A39" s="221"/>
      <c r="B39" s="342" t="s">
        <v>756</v>
      </c>
      <c r="C39" s="1251" t="s">
        <v>1056</v>
      </c>
      <c r="D39" s="1252"/>
      <c r="E39" s="1252"/>
      <c r="F39" s="1253"/>
      <c r="G39" s="902" t="s">
        <v>67</v>
      </c>
      <c r="H39" s="174">
        <v>1</v>
      </c>
      <c r="I39" s="175" t="s">
        <v>68</v>
      </c>
      <c r="J39" s="343">
        <v>0</v>
      </c>
      <c r="K39" s="343">
        <v>100000000</v>
      </c>
      <c r="L39" s="343">
        <v>0</v>
      </c>
      <c r="M39" s="343">
        <v>0</v>
      </c>
      <c r="N39" s="915">
        <f t="shared" si="3"/>
        <v>100000000</v>
      </c>
      <c r="O39" s="78"/>
    </row>
    <row r="40" spans="1:17" ht="24.75" customHeight="1">
      <c r="A40" s="221"/>
      <c r="B40" s="342" t="s">
        <v>760</v>
      </c>
      <c r="C40" s="1226" t="s">
        <v>1057</v>
      </c>
      <c r="D40" s="1227"/>
      <c r="E40" s="1227"/>
      <c r="F40" s="1228"/>
      <c r="G40" s="902" t="s">
        <v>67</v>
      </c>
      <c r="H40" s="174">
        <v>1</v>
      </c>
      <c r="I40" s="175" t="s">
        <v>68</v>
      </c>
      <c r="J40" s="343">
        <v>25000000</v>
      </c>
      <c r="K40" s="343">
        <v>12421118</v>
      </c>
      <c r="L40" s="343">
        <v>0</v>
      </c>
      <c r="M40" s="343">
        <v>0</v>
      </c>
      <c r="N40" s="915">
        <f t="shared" si="3"/>
        <v>37421118</v>
      </c>
      <c r="O40" s="78"/>
    </row>
    <row r="41" spans="1:17" ht="20.25" customHeight="1">
      <c r="A41" s="221"/>
      <c r="B41" s="342" t="s">
        <v>1058</v>
      </c>
      <c r="C41" s="1226" t="s">
        <v>1059</v>
      </c>
      <c r="D41" s="1227"/>
      <c r="E41" s="1227"/>
      <c r="F41" s="1228"/>
      <c r="G41" s="902" t="s">
        <v>67</v>
      </c>
      <c r="H41" s="174">
        <v>1</v>
      </c>
      <c r="I41" s="175" t="s">
        <v>68</v>
      </c>
      <c r="J41" s="343">
        <v>0</v>
      </c>
      <c r="K41" s="343">
        <v>150000000</v>
      </c>
      <c r="L41" s="343">
        <v>0</v>
      </c>
      <c r="M41" s="343">
        <v>0</v>
      </c>
      <c r="N41" s="915">
        <f t="shared" si="3"/>
        <v>150000000</v>
      </c>
      <c r="O41" s="78"/>
    </row>
    <row r="42" spans="1:17" ht="24.75" customHeight="1">
      <c r="A42" s="903">
        <v>2.12</v>
      </c>
      <c r="B42" s="342"/>
      <c r="C42" s="1071" t="s">
        <v>1060</v>
      </c>
      <c r="D42" s="1072"/>
      <c r="E42" s="1072"/>
      <c r="F42" s="1073"/>
      <c r="G42" s="902"/>
      <c r="H42" s="174"/>
      <c r="I42" s="175"/>
      <c r="J42" s="368">
        <f>J43</f>
        <v>50000000</v>
      </c>
      <c r="K42" s="368">
        <f>K43</f>
        <v>50000000</v>
      </c>
      <c r="L42" s="368">
        <f>L43</f>
        <v>0</v>
      </c>
      <c r="M42" s="368">
        <f>M43</f>
        <v>0</v>
      </c>
      <c r="N42" s="369">
        <f t="shared" ref="N42:N50" si="4">J42+K42+L42+M42</f>
        <v>100000000</v>
      </c>
      <c r="O42" s="78"/>
    </row>
    <row r="43" spans="1:17" ht="17.25" customHeight="1">
      <c r="A43" s="221"/>
      <c r="B43" s="457">
        <v>15.22</v>
      </c>
      <c r="C43" s="1226" t="s">
        <v>1061</v>
      </c>
      <c r="D43" s="1227"/>
      <c r="E43" s="1227"/>
      <c r="F43" s="1228"/>
      <c r="G43" s="902" t="s">
        <v>67</v>
      </c>
      <c r="H43" s="174">
        <v>1</v>
      </c>
      <c r="I43" s="175" t="s">
        <v>68</v>
      </c>
      <c r="J43" s="343">
        <v>50000000</v>
      </c>
      <c r="K43" s="343">
        <v>50000000</v>
      </c>
      <c r="L43" s="343"/>
      <c r="M43" s="343"/>
      <c r="N43" s="344">
        <f t="shared" si="4"/>
        <v>100000000</v>
      </c>
      <c r="O43" s="78"/>
    </row>
    <row r="44" spans="1:17" ht="27" customHeight="1">
      <c r="A44" s="904" t="s">
        <v>1062</v>
      </c>
      <c r="B44" s="342"/>
      <c r="C44" s="1071" t="s">
        <v>658</v>
      </c>
      <c r="D44" s="1072"/>
      <c r="E44" s="1072"/>
      <c r="F44" s="1073"/>
      <c r="G44" s="365"/>
      <c r="H44" s="366"/>
      <c r="I44" s="367"/>
      <c r="J44" s="368">
        <f>SUM(J45:J46)</f>
        <v>0</v>
      </c>
      <c r="K44" s="368">
        <f>SUM(K45:K46)</f>
        <v>580000000</v>
      </c>
      <c r="L44" s="368">
        <f>L45+L46</f>
        <v>0</v>
      </c>
      <c r="M44" s="368">
        <f>SUM(M45:M46)</f>
        <v>0</v>
      </c>
      <c r="N44" s="369">
        <f t="shared" si="4"/>
        <v>580000000</v>
      </c>
      <c r="O44" s="78"/>
    </row>
    <row r="45" spans="1:17" ht="23.25" customHeight="1">
      <c r="A45" s="221"/>
      <c r="B45" s="342" t="s">
        <v>1063</v>
      </c>
      <c r="C45" s="1229" t="s">
        <v>1064</v>
      </c>
      <c r="D45" s="1230"/>
      <c r="E45" s="1230"/>
      <c r="F45" s="1231"/>
      <c r="G45" s="902" t="s">
        <v>67</v>
      </c>
      <c r="H45" s="174">
        <v>1</v>
      </c>
      <c r="I45" s="175" t="s">
        <v>68</v>
      </c>
      <c r="J45" s="343">
        <v>0</v>
      </c>
      <c r="K45" s="343">
        <v>500000000</v>
      </c>
      <c r="L45" s="343">
        <v>0</v>
      </c>
      <c r="M45" s="343">
        <v>0</v>
      </c>
      <c r="N45" s="344">
        <f t="shared" si="4"/>
        <v>500000000</v>
      </c>
      <c r="O45" s="78"/>
    </row>
    <row r="46" spans="1:17" ht="19.5" customHeight="1">
      <c r="A46" s="221"/>
      <c r="B46" s="342" t="s">
        <v>1065</v>
      </c>
      <c r="C46" s="1226" t="s">
        <v>1066</v>
      </c>
      <c r="D46" s="1227"/>
      <c r="E46" s="1227"/>
      <c r="F46" s="1228"/>
      <c r="G46" s="902" t="s">
        <v>67</v>
      </c>
      <c r="H46" s="174">
        <v>1</v>
      </c>
      <c r="I46" s="175" t="s">
        <v>68</v>
      </c>
      <c r="J46" s="343">
        <v>0</v>
      </c>
      <c r="K46" s="343">
        <v>80000000</v>
      </c>
      <c r="L46" s="343">
        <v>0</v>
      </c>
      <c r="M46" s="343">
        <v>0</v>
      </c>
      <c r="N46" s="344">
        <f t="shared" si="4"/>
        <v>80000000</v>
      </c>
      <c r="O46" s="78"/>
    </row>
    <row r="47" spans="1:17" ht="27" customHeight="1">
      <c r="A47" s="903">
        <v>4.04</v>
      </c>
      <c r="B47" s="342"/>
      <c r="C47" s="1071" t="s">
        <v>1067</v>
      </c>
      <c r="D47" s="1072"/>
      <c r="E47" s="1072"/>
      <c r="F47" s="1073"/>
      <c r="G47" s="171"/>
      <c r="H47" s="174"/>
      <c r="I47" s="175"/>
      <c r="J47" s="368">
        <f>J48</f>
        <v>0</v>
      </c>
      <c r="K47" s="368">
        <f>K48</f>
        <v>0</v>
      </c>
      <c r="L47" s="368">
        <f>L48</f>
        <v>50000000</v>
      </c>
      <c r="M47" s="368">
        <f>M48</f>
        <v>0</v>
      </c>
      <c r="N47" s="369">
        <f t="shared" si="4"/>
        <v>50000000</v>
      </c>
      <c r="O47" s="78"/>
    </row>
    <row r="48" spans="1:17" ht="25.5" customHeight="1">
      <c r="A48" s="221"/>
      <c r="B48" s="457">
        <v>15.73</v>
      </c>
      <c r="C48" s="1229" t="s">
        <v>1068</v>
      </c>
      <c r="D48" s="1230"/>
      <c r="E48" s="1230"/>
      <c r="F48" s="1231"/>
      <c r="G48" s="905" t="s">
        <v>67</v>
      </c>
      <c r="H48" s="174">
        <v>1</v>
      </c>
      <c r="I48" s="175" t="s">
        <v>68</v>
      </c>
      <c r="J48" s="343">
        <v>0</v>
      </c>
      <c r="K48" s="343">
        <v>0</v>
      </c>
      <c r="L48" s="343">
        <v>50000000</v>
      </c>
      <c r="M48" s="343">
        <v>0</v>
      </c>
      <c r="N48" s="344">
        <f t="shared" si="4"/>
        <v>50000000</v>
      </c>
      <c r="O48" s="78"/>
      <c r="Q48" s="78">
        <f>14512000-J49</f>
        <v>-934488000</v>
      </c>
    </row>
    <row r="49" spans="1:15" ht="30" customHeight="1">
      <c r="A49" s="225" t="s">
        <v>103</v>
      </c>
      <c r="B49" s="170"/>
      <c r="C49" s="1071" t="s">
        <v>104</v>
      </c>
      <c r="D49" s="1072"/>
      <c r="E49" s="1072"/>
      <c r="F49" s="1073"/>
      <c r="G49" s="171"/>
      <c r="H49" s="174"/>
      <c r="I49" s="175"/>
      <c r="J49" s="945">
        <f>SUM(J50:J56)</f>
        <v>949000000</v>
      </c>
      <c r="K49" s="945">
        <f>SUM(K50:K56)</f>
        <v>3320000000</v>
      </c>
      <c r="L49" s="945">
        <f>SUM(L50:L56)</f>
        <v>3501000000</v>
      </c>
      <c r="M49" s="945">
        <f>SUM(M50:M56)</f>
        <v>1820000000</v>
      </c>
      <c r="N49" s="946">
        <f t="shared" si="4"/>
        <v>9590000000</v>
      </c>
      <c r="O49" s="78"/>
    </row>
    <row r="50" spans="1:15" ht="25.5" customHeight="1">
      <c r="A50" s="180"/>
      <c r="B50" s="169" t="s">
        <v>1069</v>
      </c>
      <c r="C50" s="1226" t="s">
        <v>1070</v>
      </c>
      <c r="D50" s="1227"/>
      <c r="E50" s="1227"/>
      <c r="F50" s="1228"/>
      <c r="G50" s="905" t="s">
        <v>67</v>
      </c>
      <c r="H50" s="174">
        <v>1</v>
      </c>
      <c r="I50" s="175" t="s">
        <v>68</v>
      </c>
      <c r="J50" s="370">
        <v>20000000</v>
      </c>
      <c r="K50" s="178">
        <v>20000000</v>
      </c>
      <c r="L50" s="178">
        <v>20000000</v>
      </c>
      <c r="M50" s="178">
        <v>20000000</v>
      </c>
      <c r="N50" s="227">
        <f t="shared" si="4"/>
        <v>80000000</v>
      </c>
      <c r="O50" s="78"/>
    </row>
    <row r="51" spans="1:15" ht="25.5" customHeight="1">
      <c r="A51" s="180"/>
      <c r="B51" s="169" t="s">
        <v>671</v>
      </c>
      <c r="C51" s="1226" t="s">
        <v>1071</v>
      </c>
      <c r="D51" s="1227"/>
      <c r="E51" s="1227"/>
      <c r="F51" s="1228"/>
      <c r="G51" s="902" t="s">
        <v>67</v>
      </c>
      <c r="H51" s="174">
        <v>1</v>
      </c>
      <c r="I51" s="175" t="s">
        <v>68</v>
      </c>
      <c r="J51" s="178">
        <v>100000000</v>
      </c>
      <c r="K51" s="178">
        <v>100000000</v>
      </c>
      <c r="L51" s="178">
        <v>100000000</v>
      </c>
      <c r="M51" s="178">
        <v>100000000</v>
      </c>
      <c r="N51" s="227">
        <f t="shared" ref="N51:N56" si="5">J51+K51+L51+M51</f>
        <v>400000000</v>
      </c>
      <c r="O51" s="78"/>
    </row>
    <row r="52" spans="1:15" ht="24.75" customHeight="1">
      <c r="A52" s="180"/>
      <c r="B52" s="169" t="s">
        <v>672</v>
      </c>
      <c r="C52" s="1250" t="s">
        <v>1072</v>
      </c>
      <c r="D52" s="1250"/>
      <c r="E52" s="1250"/>
      <c r="F52" s="1250"/>
      <c r="G52" s="902" t="s">
        <v>67</v>
      </c>
      <c r="H52" s="174">
        <v>1</v>
      </c>
      <c r="I52" s="175" t="s">
        <v>68</v>
      </c>
      <c r="J52" s="177">
        <v>100000000</v>
      </c>
      <c r="K52" s="177">
        <v>100000000</v>
      </c>
      <c r="L52" s="177">
        <v>100000000</v>
      </c>
      <c r="M52" s="177">
        <v>100000000</v>
      </c>
      <c r="N52" s="227">
        <f t="shared" si="5"/>
        <v>400000000</v>
      </c>
      <c r="O52" s="78"/>
    </row>
    <row r="53" spans="1:15" ht="25.5" customHeight="1">
      <c r="A53" s="180"/>
      <c r="B53" s="169" t="s">
        <v>715</v>
      </c>
      <c r="C53" s="1250" t="s">
        <v>716</v>
      </c>
      <c r="D53" s="1250"/>
      <c r="E53" s="1250"/>
      <c r="F53" s="1250"/>
      <c r="G53" s="902" t="s">
        <v>67</v>
      </c>
      <c r="H53" s="174">
        <v>1</v>
      </c>
      <c r="I53" s="175" t="s">
        <v>68</v>
      </c>
      <c r="J53" s="177">
        <v>36000000</v>
      </c>
      <c r="K53" s="177">
        <v>0</v>
      </c>
      <c r="L53" s="177">
        <v>0</v>
      </c>
      <c r="M53" s="177">
        <v>0</v>
      </c>
      <c r="N53" s="227">
        <f t="shared" si="5"/>
        <v>36000000</v>
      </c>
      <c r="O53" s="78"/>
    </row>
    <row r="54" spans="1:15" ht="27" customHeight="1">
      <c r="A54" s="180"/>
      <c r="B54" s="169" t="s">
        <v>861</v>
      </c>
      <c r="C54" s="1229" t="s">
        <v>1073</v>
      </c>
      <c r="D54" s="1230"/>
      <c r="E54" s="1230"/>
      <c r="F54" s="1231"/>
      <c r="G54" s="902" t="s">
        <v>67</v>
      </c>
      <c r="H54" s="174">
        <v>1</v>
      </c>
      <c r="I54" s="175" t="s">
        <v>68</v>
      </c>
      <c r="J54" s="177">
        <v>500000000</v>
      </c>
      <c r="K54" s="177">
        <v>2000000000</v>
      </c>
      <c r="L54" s="177">
        <v>2000000000</v>
      </c>
      <c r="M54" s="177">
        <v>1500000000</v>
      </c>
      <c r="N54" s="227">
        <f t="shared" si="5"/>
        <v>6000000000</v>
      </c>
      <c r="O54" s="78"/>
    </row>
    <row r="55" spans="1:15" ht="27.75" customHeight="1">
      <c r="A55" s="180"/>
      <c r="B55" s="169" t="s">
        <v>874</v>
      </c>
      <c r="C55" s="1229" t="s">
        <v>1074</v>
      </c>
      <c r="D55" s="1230"/>
      <c r="E55" s="1230"/>
      <c r="F55" s="1231"/>
      <c r="G55" s="902" t="s">
        <v>67</v>
      </c>
      <c r="H55" s="174">
        <v>1</v>
      </c>
      <c r="I55" s="175" t="s">
        <v>1077</v>
      </c>
      <c r="J55" s="177">
        <v>143000000</v>
      </c>
      <c r="K55" s="177">
        <v>1000000000</v>
      </c>
      <c r="L55" s="177">
        <v>1181000000</v>
      </c>
      <c r="M55" s="177">
        <v>0</v>
      </c>
      <c r="N55" s="227">
        <f t="shared" si="5"/>
        <v>2324000000</v>
      </c>
      <c r="O55" s="78"/>
    </row>
    <row r="56" spans="1:15" ht="22.5" customHeight="1">
      <c r="A56" s="180"/>
      <c r="B56" s="169" t="s">
        <v>882</v>
      </c>
      <c r="C56" s="1229" t="s">
        <v>1075</v>
      </c>
      <c r="D56" s="1230"/>
      <c r="E56" s="1230"/>
      <c r="F56" s="1231"/>
      <c r="G56" s="902" t="s">
        <v>67</v>
      </c>
      <c r="H56" s="174">
        <v>1</v>
      </c>
      <c r="I56" s="175" t="s">
        <v>68</v>
      </c>
      <c r="J56" s="178">
        <v>50000000</v>
      </c>
      <c r="K56" s="178">
        <v>100000000</v>
      </c>
      <c r="L56" s="178">
        <v>100000000</v>
      </c>
      <c r="M56" s="178">
        <v>100000000</v>
      </c>
      <c r="N56" s="227">
        <f t="shared" si="5"/>
        <v>350000000</v>
      </c>
      <c r="O56" s="78"/>
    </row>
    <row r="57" spans="1:15" ht="39.75" customHeight="1">
      <c r="A57" s="164"/>
      <c r="B57" s="989"/>
      <c r="C57" s="1233" t="s">
        <v>144</v>
      </c>
      <c r="D57" s="1234"/>
      <c r="E57" s="1234"/>
      <c r="F57" s="1234"/>
      <c r="G57" s="1234"/>
      <c r="H57" s="1234"/>
      <c r="I57" s="1235"/>
      <c r="J57" s="1236" t="s">
        <v>843</v>
      </c>
      <c r="K57" s="1237"/>
      <c r="L57" s="1238"/>
      <c r="M57" s="1236" t="s">
        <v>844</v>
      </c>
      <c r="N57" s="1239"/>
      <c r="O57" s="78"/>
    </row>
    <row r="58" spans="1:15" ht="22.5" customHeight="1">
      <c r="A58" s="990"/>
      <c r="B58" s="991"/>
      <c r="C58" s="992"/>
      <c r="D58" s="992"/>
      <c r="E58" s="992"/>
      <c r="F58" s="992"/>
      <c r="G58" s="993"/>
      <c r="H58" s="994"/>
      <c r="I58" s="995"/>
      <c r="J58" s="996"/>
      <c r="K58" s="996"/>
      <c r="L58" s="996"/>
      <c r="M58" s="996"/>
      <c r="N58" s="997"/>
      <c r="O58" s="78"/>
    </row>
    <row r="59" spans="1:15" ht="22.5" customHeight="1">
      <c r="A59" s="151"/>
      <c r="B59" s="998"/>
      <c r="C59" s="410"/>
      <c r="D59" s="410"/>
      <c r="E59" s="410"/>
      <c r="F59" s="410"/>
      <c r="G59" s="999"/>
      <c r="H59" s="411"/>
      <c r="I59" s="412"/>
      <c r="J59" s="413"/>
      <c r="K59" s="413"/>
      <c r="L59" s="413"/>
      <c r="M59" s="413"/>
      <c r="N59" s="414"/>
      <c r="O59" s="78"/>
    </row>
    <row r="60" spans="1:15" ht="22.5" customHeight="1" thickBot="1">
      <c r="A60" s="151"/>
      <c r="B60" s="998"/>
      <c r="C60" s="410"/>
      <c r="D60" s="410"/>
      <c r="E60" s="410"/>
      <c r="F60" s="410"/>
      <c r="G60" s="999"/>
      <c r="H60" s="411"/>
      <c r="I60" s="412"/>
      <c r="J60" s="413"/>
      <c r="K60" s="413"/>
      <c r="L60" s="413"/>
      <c r="M60" s="413"/>
      <c r="N60" s="414"/>
      <c r="O60" s="78"/>
    </row>
    <row r="61" spans="1:15" ht="34.5" customHeight="1">
      <c r="A61" s="1000">
        <v>2.04</v>
      </c>
      <c r="B61" s="1001"/>
      <c r="C61" s="1084" t="s">
        <v>1076</v>
      </c>
      <c r="D61" s="1085"/>
      <c r="E61" s="1085"/>
      <c r="F61" s="1086"/>
      <c r="G61" s="417"/>
      <c r="H61" s="1002"/>
      <c r="I61" s="419"/>
      <c r="J61" s="1003">
        <f>J62</f>
        <v>500000000</v>
      </c>
      <c r="K61" s="1003">
        <f>K62</f>
        <v>500000000</v>
      </c>
      <c r="L61" s="1003">
        <f>L62</f>
        <v>500000000</v>
      </c>
      <c r="M61" s="1003">
        <f>M62</f>
        <v>500000000</v>
      </c>
      <c r="N61" s="1004">
        <f>N62</f>
        <v>2000000000</v>
      </c>
      <c r="O61" s="78"/>
    </row>
    <row r="62" spans="1:15" ht="23.25" customHeight="1">
      <c r="A62" s="180"/>
      <c r="B62" s="499">
        <v>16.079999999999998</v>
      </c>
      <c r="C62" s="1226" t="s">
        <v>1078</v>
      </c>
      <c r="D62" s="1227"/>
      <c r="E62" s="1227"/>
      <c r="F62" s="1228"/>
      <c r="G62" s="902" t="s">
        <v>67</v>
      </c>
      <c r="H62" s="174">
        <v>1</v>
      </c>
      <c r="I62" s="175" t="s">
        <v>68</v>
      </c>
      <c r="J62" s="178">
        <v>500000000</v>
      </c>
      <c r="K62" s="178">
        <v>500000000</v>
      </c>
      <c r="L62" s="178">
        <v>500000000</v>
      </c>
      <c r="M62" s="178">
        <v>500000000</v>
      </c>
      <c r="N62" s="227">
        <f>J62+K62+L62+M62</f>
        <v>2000000000</v>
      </c>
      <c r="O62" s="78"/>
    </row>
    <row r="63" spans="1:15" ht="35.25" customHeight="1">
      <c r="A63" s="906">
        <v>2.16</v>
      </c>
      <c r="B63" s="169"/>
      <c r="C63" s="1071" t="s">
        <v>1079</v>
      </c>
      <c r="D63" s="1072"/>
      <c r="E63" s="1072"/>
      <c r="F63" s="1073"/>
      <c r="G63" s="171"/>
      <c r="H63" s="172"/>
      <c r="I63" s="175"/>
      <c r="J63" s="486">
        <f>J64+J65</f>
        <v>50000000</v>
      </c>
      <c r="K63" s="486">
        <f>K64+K65</f>
        <v>75000000</v>
      </c>
      <c r="L63" s="486">
        <f>L64+L65</f>
        <v>50000000</v>
      </c>
      <c r="M63" s="486">
        <f>M64+M65</f>
        <v>25000000</v>
      </c>
      <c r="N63" s="911">
        <f>J63+K63+L63+M63</f>
        <v>200000000</v>
      </c>
      <c r="O63" s="78"/>
    </row>
    <row r="64" spans="1:15" ht="23.25" customHeight="1">
      <c r="A64" s="180"/>
      <c r="B64" s="499">
        <v>16.14</v>
      </c>
      <c r="C64" s="1229" t="s">
        <v>1080</v>
      </c>
      <c r="D64" s="1230"/>
      <c r="E64" s="1230"/>
      <c r="F64" s="1231"/>
      <c r="G64" s="902" t="s">
        <v>67</v>
      </c>
      <c r="H64" s="174">
        <v>1</v>
      </c>
      <c r="I64" s="175" t="s">
        <v>68</v>
      </c>
      <c r="J64" s="177">
        <v>25000000</v>
      </c>
      <c r="K64" s="177">
        <v>25000000</v>
      </c>
      <c r="L64" s="177">
        <v>25000000</v>
      </c>
      <c r="M64" s="177">
        <v>25000000</v>
      </c>
      <c r="N64" s="909">
        <f t="shared" ref="N64:N65" si="6">J64+K64+L64+M64</f>
        <v>100000000</v>
      </c>
      <c r="O64" s="78"/>
    </row>
    <row r="65" spans="1:15" ht="26.25" customHeight="1">
      <c r="A65" s="180"/>
      <c r="B65" s="499">
        <v>16.149999999999999</v>
      </c>
      <c r="C65" s="1229" t="s">
        <v>1081</v>
      </c>
      <c r="D65" s="1230"/>
      <c r="E65" s="1230"/>
      <c r="F65" s="1231"/>
      <c r="G65" s="902" t="s">
        <v>67</v>
      </c>
      <c r="H65" s="174">
        <v>1</v>
      </c>
      <c r="I65" s="175" t="s">
        <v>68</v>
      </c>
      <c r="J65" s="177">
        <v>25000000</v>
      </c>
      <c r="K65" s="177">
        <v>50000000</v>
      </c>
      <c r="L65" s="177">
        <v>25000000</v>
      </c>
      <c r="M65" s="177">
        <v>0</v>
      </c>
      <c r="N65" s="909">
        <f t="shared" si="6"/>
        <v>100000000</v>
      </c>
      <c r="O65" s="78"/>
    </row>
    <row r="66" spans="1:15" ht="24.75" customHeight="1">
      <c r="A66" s="908">
        <v>17</v>
      </c>
      <c r="B66" s="171"/>
      <c r="C66" s="1240" t="s">
        <v>1082</v>
      </c>
      <c r="D66" s="1241"/>
      <c r="E66" s="1241"/>
      <c r="F66" s="1242"/>
      <c r="G66" s="171"/>
      <c r="H66" s="172"/>
      <c r="I66" s="175"/>
      <c r="J66" s="305">
        <f>J67</f>
        <v>50000000</v>
      </c>
      <c r="K66" s="305">
        <f>K67</f>
        <v>0</v>
      </c>
      <c r="L66" s="305">
        <f>L67</f>
        <v>0</v>
      </c>
      <c r="M66" s="305">
        <f>M67</f>
        <v>0</v>
      </c>
      <c r="N66" s="305">
        <f>J66+K66+L66+M66</f>
        <v>50000000</v>
      </c>
      <c r="O66" s="78"/>
    </row>
    <row r="67" spans="1:15" ht="24" customHeight="1">
      <c r="A67" s="180"/>
      <c r="B67" s="169" t="s">
        <v>688</v>
      </c>
      <c r="C67" s="1226" t="s">
        <v>1083</v>
      </c>
      <c r="D67" s="1227"/>
      <c r="E67" s="1227"/>
      <c r="F67" s="1228"/>
      <c r="G67" s="902" t="s">
        <v>67</v>
      </c>
      <c r="H67" s="174">
        <v>1</v>
      </c>
      <c r="I67" s="175" t="s">
        <v>68</v>
      </c>
      <c r="J67" s="178">
        <v>50000000</v>
      </c>
      <c r="K67" s="178">
        <v>0</v>
      </c>
      <c r="L67" s="178">
        <v>0</v>
      </c>
      <c r="M67" s="178">
        <v>0</v>
      </c>
      <c r="N67" s="227">
        <f t="shared" ref="N67:N74" si="7">J67+K67+L67+M67</f>
        <v>50000000</v>
      </c>
      <c r="O67" s="78"/>
    </row>
    <row r="68" spans="1:15" ht="29.25" customHeight="1">
      <c r="A68" s="907">
        <v>2.16</v>
      </c>
      <c r="B68" s="169"/>
      <c r="C68" s="1240" t="s">
        <v>1084</v>
      </c>
      <c r="D68" s="1241"/>
      <c r="E68" s="1241"/>
      <c r="F68" s="1242"/>
      <c r="G68" s="902"/>
      <c r="H68" s="174"/>
      <c r="I68" s="175"/>
      <c r="J68" s="486">
        <f>SUM(J69:J72)</f>
        <v>52000000</v>
      </c>
      <c r="K68" s="486">
        <f>SUM(K69:K72)</f>
        <v>450000000</v>
      </c>
      <c r="L68" s="486">
        <f>SUM(L69:L72)</f>
        <v>1067000000</v>
      </c>
      <c r="M68" s="486">
        <f>SUM(M69:M72)</f>
        <v>98000000</v>
      </c>
      <c r="N68" s="911">
        <f>J68+K68+L68+M68</f>
        <v>1667000000</v>
      </c>
      <c r="O68" s="78"/>
    </row>
    <row r="69" spans="1:15" ht="29.25" customHeight="1">
      <c r="A69" s="180"/>
      <c r="B69" s="499">
        <v>17.010000000000002</v>
      </c>
      <c r="C69" s="1226" t="s">
        <v>1085</v>
      </c>
      <c r="D69" s="1227"/>
      <c r="E69" s="1227"/>
      <c r="F69" s="1228"/>
      <c r="G69" s="902" t="s">
        <v>67</v>
      </c>
      <c r="H69" s="174">
        <v>1</v>
      </c>
      <c r="I69" s="175" t="s">
        <v>68</v>
      </c>
      <c r="J69" s="178">
        <v>50000000</v>
      </c>
      <c r="K69" s="178">
        <v>350000000</v>
      </c>
      <c r="L69" s="178">
        <v>50000000</v>
      </c>
      <c r="M69" s="178">
        <v>50000000</v>
      </c>
      <c r="N69" s="227">
        <f t="shared" si="7"/>
        <v>500000000</v>
      </c>
      <c r="O69" s="78"/>
    </row>
    <row r="70" spans="1:15" ht="29.25" customHeight="1">
      <c r="A70" s="180"/>
      <c r="B70" s="499">
        <v>17.09</v>
      </c>
      <c r="C70" s="1226" t="s">
        <v>1086</v>
      </c>
      <c r="D70" s="1227"/>
      <c r="E70" s="1227"/>
      <c r="F70" s="1228"/>
      <c r="G70" s="902" t="s">
        <v>67</v>
      </c>
      <c r="H70" s="174">
        <v>1</v>
      </c>
      <c r="I70" s="175" t="s">
        <v>68</v>
      </c>
      <c r="J70" s="178">
        <v>2000000</v>
      </c>
      <c r="K70" s="178">
        <v>0</v>
      </c>
      <c r="L70" s="178">
        <v>0</v>
      </c>
      <c r="M70" s="178">
        <v>48000000</v>
      </c>
      <c r="N70" s="227">
        <f t="shared" si="7"/>
        <v>50000000</v>
      </c>
      <c r="O70" s="78"/>
    </row>
    <row r="71" spans="1:15" ht="49.5" customHeight="1">
      <c r="A71" s="180"/>
      <c r="B71" s="910">
        <v>17.100000000000001</v>
      </c>
      <c r="C71" s="1226" t="s">
        <v>1087</v>
      </c>
      <c r="D71" s="1227"/>
      <c r="E71" s="1227"/>
      <c r="F71" s="1228"/>
      <c r="G71" s="902" t="s">
        <v>67</v>
      </c>
      <c r="H71" s="174">
        <v>1</v>
      </c>
      <c r="I71" s="175" t="s">
        <v>68</v>
      </c>
      <c r="J71" s="178">
        <v>0</v>
      </c>
      <c r="K71" s="178">
        <v>100000000</v>
      </c>
      <c r="L71" s="178">
        <v>0</v>
      </c>
      <c r="M71" s="178">
        <v>0</v>
      </c>
      <c r="N71" s="227">
        <f t="shared" si="7"/>
        <v>100000000</v>
      </c>
      <c r="O71" s="78"/>
    </row>
    <row r="72" spans="1:15" ht="24.75" customHeight="1">
      <c r="A72" s="180"/>
      <c r="B72" s="499">
        <v>17.12</v>
      </c>
      <c r="C72" s="1226" t="s">
        <v>1088</v>
      </c>
      <c r="D72" s="1227"/>
      <c r="E72" s="1227"/>
      <c r="F72" s="1228"/>
      <c r="G72" s="902" t="s">
        <v>67</v>
      </c>
      <c r="H72" s="174">
        <v>1</v>
      </c>
      <c r="I72" s="175" t="s">
        <v>68</v>
      </c>
      <c r="J72" s="178">
        <v>0</v>
      </c>
      <c r="K72" s="178">
        <v>0</v>
      </c>
      <c r="L72" s="178">
        <v>1017000000</v>
      </c>
      <c r="M72" s="178">
        <v>0</v>
      </c>
      <c r="N72" s="227">
        <f t="shared" si="7"/>
        <v>1017000000</v>
      </c>
      <c r="O72" s="78"/>
    </row>
    <row r="73" spans="1:15" ht="24" customHeight="1">
      <c r="A73" s="906">
        <v>18</v>
      </c>
      <c r="B73" s="169"/>
      <c r="C73" s="1246" t="s">
        <v>518</v>
      </c>
      <c r="D73" s="1247"/>
      <c r="E73" s="1247"/>
      <c r="F73" s="1248"/>
      <c r="G73" s="902"/>
      <c r="H73" s="174"/>
      <c r="I73" s="175"/>
      <c r="J73" s="486">
        <f>SUM(J74:J76)</f>
        <v>200000000</v>
      </c>
      <c r="K73" s="486">
        <f>SUM(K74:K76)</f>
        <v>100000000</v>
      </c>
      <c r="L73" s="486">
        <f>SUM(L74:L76)</f>
        <v>0</v>
      </c>
      <c r="M73" s="486">
        <f>SUM(M74:M76)</f>
        <v>0</v>
      </c>
      <c r="N73" s="911">
        <f t="shared" si="7"/>
        <v>300000000</v>
      </c>
      <c r="O73" s="78"/>
    </row>
    <row r="74" spans="1:15" ht="50.25" customHeight="1">
      <c r="A74" s="180"/>
      <c r="B74" s="499">
        <v>18.11</v>
      </c>
      <c r="C74" s="1226" t="s">
        <v>1089</v>
      </c>
      <c r="D74" s="1227"/>
      <c r="E74" s="1227"/>
      <c r="F74" s="1228"/>
      <c r="G74" s="902" t="s">
        <v>67</v>
      </c>
      <c r="H74" s="174">
        <v>1</v>
      </c>
      <c r="I74" s="175" t="s">
        <v>68</v>
      </c>
      <c r="J74" s="178">
        <v>0</v>
      </c>
      <c r="K74" s="178">
        <v>50000000</v>
      </c>
      <c r="L74" s="178"/>
      <c r="M74" s="178"/>
      <c r="N74" s="227">
        <f t="shared" si="7"/>
        <v>50000000</v>
      </c>
      <c r="O74" s="78"/>
    </row>
    <row r="75" spans="1:15" ht="32.25" customHeight="1">
      <c r="A75" s="180"/>
      <c r="B75" s="499">
        <v>18.12</v>
      </c>
      <c r="C75" s="1226" t="s">
        <v>1090</v>
      </c>
      <c r="D75" s="1227"/>
      <c r="E75" s="1227"/>
      <c r="F75" s="1228"/>
      <c r="G75" s="902" t="s">
        <v>67</v>
      </c>
      <c r="H75" s="174">
        <v>1</v>
      </c>
      <c r="I75" s="175" t="s">
        <v>68</v>
      </c>
      <c r="J75" s="178">
        <v>0</v>
      </c>
      <c r="K75" s="178">
        <v>50000000</v>
      </c>
      <c r="L75" s="178">
        <v>0</v>
      </c>
      <c r="M75" s="178">
        <v>0</v>
      </c>
      <c r="N75" s="227">
        <f>J75+K75+L75+M75</f>
        <v>50000000</v>
      </c>
      <c r="O75" s="78"/>
    </row>
    <row r="76" spans="1:15" ht="28.5" customHeight="1">
      <c r="A76" s="180"/>
      <c r="B76" s="499">
        <v>18.13</v>
      </c>
      <c r="C76" s="1226" t="s">
        <v>1091</v>
      </c>
      <c r="D76" s="1227"/>
      <c r="E76" s="1227"/>
      <c r="F76" s="1228"/>
      <c r="G76" s="902" t="s">
        <v>67</v>
      </c>
      <c r="H76" s="174">
        <v>1</v>
      </c>
      <c r="I76" s="175" t="s">
        <v>68</v>
      </c>
      <c r="J76" s="178">
        <v>200000000</v>
      </c>
      <c r="K76" s="178">
        <v>0</v>
      </c>
      <c r="L76" s="178">
        <v>0</v>
      </c>
      <c r="M76" s="178">
        <v>0</v>
      </c>
      <c r="N76" s="227">
        <f>J76+K76+L76+M76</f>
        <v>200000000</v>
      </c>
      <c r="O76" s="78"/>
    </row>
    <row r="77" spans="1:15" ht="29.25" customHeight="1">
      <c r="A77" s="906">
        <v>2.16</v>
      </c>
      <c r="B77" s="169"/>
      <c r="C77" s="1240" t="s">
        <v>1092</v>
      </c>
      <c r="D77" s="1241"/>
      <c r="E77" s="1241"/>
      <c r="F77" s="1242"/>
      <c r="G77" s="171"/>
      <c r="H77" s="172"/>
      <c r="I77" s="175"/>
      <c r="J77" s="486">
        <f>J78</f>
        <v>20000000</v>
      </c>
      <c r="K77" s="486">
        <f>K78</f>
        <v>20000000</v>
      </c>
      <c r="L77" s="486">
        <f>L78</f>
        <v>5000000</v>
      </c>
      <c r="M77" s="486">
        <f>M78</f>
        <v>5000000</v>
      </c>
      <c r="N77" s="911">
        <f>J77+K77+L77+M77</f>
        <v>50000000</v>
      </c>
      <c r="O77" s="78"/>
    </row>
    <row r="78" spans="1:15" ht="29.25" customHeight="1">
      <c r="A78" s="180"/>
      <c r="B78" s="499">
        <v>18.05</v>
      </c>
      <c r="C78" s="1226" t="s">
        <v>1093</v>
      </c>
      <c r="D78" s="1227"/>
      <c r="E78" s="1227"/>
      <c r="F78" s="1228"/>
      <c r="G78" s="902" t="s">
        <v>67</v>
      </c>
      <c r="H78" s="174">
        <v>1</v>
      </c>
      <c r="I78" s="175" t="s">
        <v>68</v>
      </c>
      <c r="J78" s="178">
        <v>20000000</v>
      </c>
      <c r="K78" s="178">
        <v>20000000</v>
      </c>
      <c r="L78" s="178">
        <v>5000000</v>
      </c>
      <c r="M78" s="178">
        <v>5000000</v>
      </c>
      <c r="N78" s="227">
        <f>J78+K78+L78+M78</f>
        <v>50000000</v>
      </c>
      <c r="O78" s="78"/>
    </row>
    <row r="79" spans="1:15" ht="21" customHeight="1">
      <c r="A79" s="180"/>
      <c r="B79" s="171"/>
      <c r="C79" s="1054"/>
      <c r="D79" s="1055"/>
      <c r="E79" s="1055"/>
      <c r="F79" s="1052"/>
      <c r="G79" s="171"/>
      <c r="H79" s="171"/>
      <c r="I79" s="171"/>
      <c r="J79" s="171"/>
      <c r="K79" s="171"/>
      <c r="L79" s="171"/>
      <c r="M79" s="171"/>
      <c r="N79" s="181"/>
    </row>
    <row r="80" spans="1:15" ht="30.75" customHeight="1">
      <c r="A80" s="182"/>
      <c r="B80" s="183"/>
      <c r="C80" s="183"/>
      <c r="D80" s="183"/>
      <c r="E80" s="183"/>
      <c r="F80" s="183"/>
      <c r="G80" s="183"/>
      <c r="H80" s="183"/>
      <c r="I80" s="184"/>
      <c r="J80" s="185">
        <f>J14+J28+J34+J42+J49+J61+J63+J66+J68+J73+J77</f>
        <v>2670694250</v>
      </c>
      <c r="K80" s="185">
        <f>K14+K28+K34+K42+K44+K49+K61+K63+K68+K73+K77</f>
        <v>5489765368</v>
      </c>
      <c r="L80" s="185">
        <f>L14+L28+L47+L49+L61+L63+L68+L77</f>
        <v>5391044250</v>
      </c>
      <c r="M80" s="185">
        <f>M14+M28+M49+M61+M63+M68+M77</f>
        <v>2572694250</v>
      </c>
      <c r="N80" s="944">
        <f>N14+N28+N34+N42+N44+N47+N49+N61+N63+N66+N68+N73+N77</f>
        <v>16124198118</v>
      </c>
      <c r="O80" s="78"/>
    </row>
    <row r="81" spans="1:17">
      <c r="A81" s="150"/>
      <c r="B81" s="151"/>
      <c r="C81" s="151"/>
      <c r="D81" s="151"/>
      <c r="E81" s="151"/>
      <c r="F81" s="151"/>
      <c r="G81" s="1232"/>
      <c r="H81" s="1040"/>
      <c r="I81" s="1040"/>
      <c r="J81" s="1040"/>
      <c r="K81" s="1040"/>
      <c r="L81" s="1040"/>
      <c r="M81" s="1040"/>
      <c r="N81" s="1089"/>
      <c r="O81" s="78"/>
      <c r="Q81" s="78">
        <v>1970186000</v>
      </c>
    </row>
    <row r="82" spans="1:17">
      <c r="A82" s="150" t="s">
        <v>105</v>
      </c>
      <c r="B82" s="151"/>
      <c r="C82" s="151"/>
      <c r="D82" s="151"/>
      <c r="E82" s="151"/>
      <c r="F82" s="151"/>
      <c r="G82" s="1036" t="s">
        <v>836</v>
      </c>
      <c r="H82" s="1037"/>
      <c r="I82" s="1037"/>
      <c r="J82" s="1037"/>
      <c r="K82" s="1037"/>
      <c r="L82" s="1037"/>
      <c r="M82" s="1037"/>
      <c r="N82" s="1038"/>
      <c r="O82" s="78"/>
      <c r="Q82" s="78" t="e">
        <f>#REF!+Q81</f>
        <v>#REF!</v>
      </c>
    </row>
    <row r="83" spans="1:17">
      <c r="A83" s="150" t="s">
        <v>106</v>
      </c>
      <c r="B83" s="151"/>
      <c r="C83" s="151" t="s">
        <v>17</v>
      </c>
      <c r="D83" s="1243">
        <v>2670694250</v>
      </c>
      <c r="E83" s="1243"/>
      <c r="F83" s="151"/>
      <c r="G83" s="1036" t="s">
        <v>585</v>
      </c>
      <c r="H83" s="1037"/>
      <c r="I83" s="1037"/>
      <c r="J83" s="1037"/>
      <c r="K83" s="1037"/>
      <c r="L83" s="1037"/>
      <c r="M83" s="1037"/>
      <c r="N83" s="1038"/>
    </row>
    <row r="84" spans="1:17">
      <c r="A84" s="150" t="s">
        <v>107</v>
      </c>
      <c r="B84" s="151"/>
      <c r="C84" s="151" t="s">
        <v>17</v>
      </c>
      <c r="D84" s="1243">
        <v>5489765368</v>
      </c>
      <c r="E84" s="1243"/>
      <c r="F84" s="151"/>
      <c r="G84" s="808"/>
      <c r="H84" s="809"/>
      <c r="I84" s="809"/>
      <c r="J84" s="809"/>
      <c r="K84" s="1037"/>
      <c r="L84" s="1037"/>
      <c r="M84" s="809"/>
      <c r="N84" s="810"/>
    </row>
    <row r="85" spans="1:17">
      <c r="A85" s="150" t="s">
        <v>108</v>
      </c>
      <c r="B85" s="151"/>
      <c r="C85" s="151" t="s">
        <v>17</v>
      </c>
      <c r="D85" s="1243">
        <v>5391044250</v>
      </c>
      <c r="E85" s="1243"/>
      <c r="F85" s="151"/>
      <c r="G85" s="808"/>
      <c r="H85" s="809"/>
      <c r="I85" s="809"/>
      <c r="J85" s="809"/>
      <c r="K85" s="809"/>
      <c r="L85" s="809"/>
      <c r="M85" s="809"/>
      <c r="N85" s="810"/>
      <c r="O85" s="78"/>
      <c r="Q85" s="78">
        <f>J80+K80+L80+M80</f>
        <v>16124198118</v>
      </c>
    </row>
    <row r="86" spans="1:17">
      <c r="A86" s="150" t="s">
        <v>109</v>
      </c>
      <c r="B86" s="151"/>
      <c r="C86" s="153" t="s">
        <v>17</v>
      </c>
      <c r="D86" s="1244">
        <v>2572694250</v>
      </c>
      <c r="E86" s="1244"/>
      <c r="F86" s="151"/>
      <c r="G86" s="808"/>
      <c r="H86" s="809"/>
      <c r="I86" s="809"/>
      <c r="J86" s="809"/>
      <c r="K86" s="809"/>
      <c r="L86" s="809"/>
      <c r="M86" s="809"/>
      <c r="N86" s="810"/>
      <c r="O86" s="78"/>
    </row>
    <row r="87" spans="1:17">
      <c r="A87" s="1098" t="s">
        <v>110</v>
      </c>
      <c r="B87" s="1037"/>
      <c r="C87" s="153" t="s">
        <v>17</v>
      </c>
      <c r="D87" s="1245">
        <f>SUM(D83:E86)</f>
        <v>16124198118</v>
      </c>
      <c r="E87" s="1245"/>
      <c r="F87" s="151"/>
      <c r="G87" s="1095" t="s">
        <v>849</v>
      </c>
      <c r="H87" s="1096"/>
      <c r="I87" s="1096"/>
      <c r="J87" s="1096"/>
      <c r="K87" s="1096"/>
      <c r="L87" s="1096"/>
      <c r="M87" s="1096"/>
      <c r="N87" s="1097"/>
    </row>
    <row r="88" spans="1:17">
      <c r="A88" s="150"/>
      <c r="B88" s="151"/>
      <c r="C88" s="151"/>
      <c r="D88" s="151"/>
      <c r="E88" s="151"/>
      <c r="F88" s="151"/>
      <c r="G88" s="1092" t="s">
        <v>850</v>
      </c>
      <c r="H88" s="1043"/>
      <c r="I88" s="1043"/>
      <c r="J88" s="1043"/>
      <c r="K88" s="1043"/>
      <c r="L88" s="1043"/>
      <c r="M88" s="1043"/>
      <c r="N88" s="1093"/>
    </row>
    <row r="89" spans="1:17">
      <c r="A89" s="1054" t="s">
        <v>1046</v>
      </c>
      <c r="B89" s="1055"/>
      <c r="C89" s="1055"/>
      <c r="D89" s="1055"/>
      <c r="E89" s="1055"/>
      <c r="F89" s="1052"/>
      <c r="G89" s="1094" t="s">
        <v>1047</v>
      </c>
      <c r="H89" s="1040"/>
      <c r="I89" s="1040"/>
      <c r="J89" s="1040"/>
      <c r="K89" s="1040"/>
      <c r="L89" s="1040"/>
      <c r="M89" s="1040"/>
      <c r="N89" s="1089"/>
    </row>
    <row r="90" spans="1:17">
      <c r="A90" s="150"/>
      <c r="B90" s="151"/>
      <c r="C90" s="151"/>
      <c r="D90" s="151"/>
      <c r="E90" s="151"/>
      <c r="F90" s="151"/>
      <c r="G90" s="1036" t="s">
        <v>114</v>
      </c>
      <c r="H90" s="1037"/>
      <c r="I90" s="1037"/>
      <c r="J90" s="1037"/>
      <c r="K90" s="1037"/>
      <c r="L90" s="1037"/>
      <c r="M90" s="1037"/>
      <c r="N90" s="1038"/>
    </row>
    <row r="91" spans="1:17">
      <c r="A91" s="157">
        <v>1</v>
      </c>
      <c r="B91" s="151" t="s">
        <v>460</v>
      </c>
      <c r="C91" s="151"/>
      <c r="D91" s="151" t="s">
        <v>523</v>
      </c>
      <c r="E91" s="195"/>
      <c r="F91" s="151"/>
      <c r="G91" s="155"/>
      <c r="H91" s="151"/>
      <c r="I91" s="151"/>
      <c r="J91" s="151"/>
      <c r="K91" s="151"/>
      <c r="L91" s="151"/>
      <c r="M91" s="151"/>
      <c r="N91" s="186"/>
      <c r="O91" s="78"/>
    </row>
    <row r="92" spans="1:17">
      <c r="A92" s="157"/>
      <c r="B92" s="151" t="s">
        <v>1019</v>
      </c>
      <c r="C92" s="151"/>
      <c r="D92" s="151"/>
      <c r="E92" s="886"/>
      <c r="F92" s="151"/>
      <c r="G92" s="155"/>
      <c r="H92" s="151"/>
      <c r="I92" s="151"/>
      <c r="J92" s="151"/>
      <c r="K92" s="151"/>
      <c r="L92" s="151"/>
      <c r="M92" s="151"/>
      <c r="N92" s="186"/>
      <c r="O92" s="78"/>
    </row>
    <row r="93" spans="1:17">
      <c r="A93" s="150"/>
      <c r="B93" s="151"/>
      <c r="C93" s="151"/>
      <c r="D93" s="151"/>
      <c r="E93" s="151"/>
      <c r="F93" s="151"/>
      <c r="G93" s="155"/>
      <c r="H93" s="151"/>
      <c r="I93" s="151"/>
      <c r="J93" s="151"/>
      <c r="K93" s="151"/>
      <c r="L93" s="151"/>
      <c r="M93" s="151"/>
      <c r="N93" s="186"/>
    </row>
    <row r="94" spans="1:17">
      <c r="A94" s="150">
        <v>2</v>
      </c>
      <c r="B94" s="151" t="s">
        <v>522</v>
      </c>
      <c r="C94" s="151"/>
      <c r="D94" s="151"/>
      <c r="E94" s="151" t="s">
        <v>524</v>
      </c>
      <c r="F94" s="195"/>
      <c r="G94" s="155"/>
      <c r="H94" s="151"/>
      <c r="I94" s="151"/>
      <c r="J94" s="151"/>
      <c r="K94" s="151"/>
      <c r="L94" s="151"/>
      <c r="M94" s="151"/>
      <c r="N94" s="186"/>
    </row>
    <row r="95" spans="1:17">
      <c r="A95" s="150"/>
      <c r="B95" s="151" t="s">
        <v>1019</v>
      </c>
      <c r="C95" s="151"/>
      <c r="D95" s="151"/>
      <c r="E95" s="151"/>
      <c r="F95" s="151"/>
      <c r="G95" s="1095" t="s">
        <v>839</v>
      </c>
      <c r="H95" s="1096"/>
      <c r="I95" s="1096"/>
      <c r="J95" s="1096"/>
      <c r="K95" s="1096"/>
      <c r="L95" s="1096"/>
      <c r="M95" s="1096"/>
      <c r="N95" s="1097"/>
    </row>
    <row r="96" spans="1:17">
      <c r="A96" s="150"/>
      <c r="B96" s="151"/>
      <c r="C96" s="151"/>
      <c r="D96" s="151"/>
      <c r="E96" s="195"/>
      <c r="F96" s="151"/>
      <c r="G96" s="1090" t="s">
        <v>840</v>
      </c>
      <c r="H96" s="1037"/>
      <c r="I96" s="1037"/>
      <c r="J96" s="1037"/>
      <c r="K96" s="1037"/>
      <c r="L96" s="1037"/>
      <c r="M96" s="1037"/>
      <c r="N96" s="1038"/>
    </row>
    <row r="97" spans="1:14" ht="15.75" thickBot="1">
      <c r="A97" s="158"/>
      <c r="B97" s="159"/>
      <c r="C97" s="159"/>
      <c r="D97" s="159"/>
      <c r="E97" s="159"/>
      <c r="F97" s="159"/>
      <c r="G97" s="160"/>
      <c r="H97" s="159"/>
      <c r="I97" s="159"/>
      <c r="J97" s="159"/>
      <c r="K97" s="159"/>
      <c r="L97" s="159"/>
      <c r="M97" s="159"/>
      <c r="N97" s="187"/>
    </row>
  </sheetData>
  <mergeCells count="97">
    <mergeCell ref="H6:J6"/>
    <mergeCell ref="C55:F55"/>
    <mergeCell ref="C56:F56"/>
    <mergeCell ref="C61:F61"/>
    <mergeCell ref="C51:F51"/>
    <mergeCell ref="C52:F52"/>
    <mergeCell ref="C53:F53"/>
    <mergeCell ref="C54:F54"/>
    <mergeCell ref="C45:F45"/>
    <mergeCell ref="C32:F32"/>
    <mergeCell ref="C34:F34"/>
    <mergeCell ref="C38:F38"/>
    <mergeCell ref="C39:F39"/>
    <mergeCell ref="C40:F40"/>
    <mergeCell ref="C41:F41"/>
    <mergeCell ref="C42:F42"/>
    <mergeCell ref="C62:F62"/>
    <mergeCell ref="C63:F63"/>
    <mergeCell ref="C75:F75"/>
    <mergeCell ref="C76:F76"/>
    <mergeCell ref="C78:F78"/>
    <mergeCell ref="C70:F70"/>
    <mergeCell ref="C71:F71"/>
    <mergeCell ref="C72:F72"/>
    <mergeCell ref="C73:F73"/>
    <mergeCell ref="C74:F74"/>
    <mergeCell ref="C66:F66"/>
    <mergeCell ref="G82:N82"/>
    <mergeCell ref="G96:N96"/>
    <mergeCell ref="D84:E84"/>
    <mergeCell ref="K84:L84"/>
    <mergeCell ref="D85:E85"/>
    <mergeCell ref="D86:E86"/>
    <mergeCell ref="G88:N88"/>
    <mergeCell ref="A89:F89"/>
    <mergeCell ref="G89:N89"/>
    <mergeCell ref="G90:N90"/>
    <mergeCell ref="G95:N95"/>
    <mergeCell ref="A87:B87"/>
    <mergeCell ref="D87:E87"/>
    <mergeCell ref="G87:N87"/>
    <mergeCell ref="D83:E83"/>
    <mergeCell ref="G83:N83"/>
    <mergeCell ref="G81:N81"/>
    <mergeCell ref="C46:F46"/>
    <mergeCell ref="C48:F48"/>
    <mergeCell ref="C47:F47"/>
    <mergeCell ref="C57:I57"/>
    <mergeCell ref="J57:L57"/>
    <mergeCell ref="M57:N57"/>
    <mergeCell ref="C64:F64"/>
    <mergeCell ref="C65:F65"/>
    <mergeCell ref="C67:F67"/>
    <mergeCell ref="C77:F77"/>
    <mergeCell ref="C79:F79"/>
    <mergeCell ref="C50:F50"/>
    <mergeCell ref="C68:F68"/>
    <mergeCell ref="C69:F69"/>
    <mergeCell ref="C49:F49"/>
    <mergeCell ref="C43:F43"/>
    <mergeCell ref="C44:F44"/>
    <mergeCell ref="C35:F35"/>
    <mergeCell ref="C36:F36"/>
    <mergeCell ref="C37:F37"/>
    <mergeCell ref="C33:F33"/>
    <mergeCell ref="C22:F22"/>
    <mergeCell ref="C23:F23"/>
    <mergeCell ref="C24:F24"/>
    <mergeCell ref="C25:F25"/>
    <mergeCell ref="C26:F26"/>
    <mergeCell ref="C27:F27"/>
    <mergeCell ref="C28:F28"/>
    <mergeCell ref="C30:F30"/>
    <mergeCell ref="C29:F29"/>
    <mergeCell ref="C31:F31"/>
    <mergeCell ref="A1:H1"/>
    <mergeCell ref="I1:N1"/>
    <mergeCell ref="A2:H2"/>
    <mergeCell ref="I2:N2"/>
    <mergeCell ref="A3:H3"/>
    <mergeCell ref="I3:N3"/>
    <mergeCell ref="C19:F19"/>
    <mergeCell ref="C20:F20"/>
    <mergeCell ref="C21:F21"/>
    <mergeCell ref="C18:F18"/>
    <mergeCell ref="A4:H4"/>
    <mergeCell ref="A7:N7"/>
    <mergeCell ref="A8:N8"/>
    <mergeCell ref="A9:B9"/>
    <mergeCell ref="C9:F9"/>
    <mergeCell ref="J9:M9"/>
    <mergeCell ref="C12:F12"/>
    <mergeCell ref="C14:F14"/>
    <mergeCell ref="C15:F15"/>
    <mergeCell ref="C16:F16"/>
    <mergeCell ref="C17:F17"/>
    <mergeCell ref="H5:J5"/>
  </mergeCells>
  <printOptions horizontalCentered="1"/>
  <pageMargins left="0.11" right="0.27" top="0.511811023622047" bottom="0.511811023622047" header="0.31496062992126" footer="0.31496062992126"/>
  <pageSetup paperSize="256" scale="6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2"/>
  <sheetViews>
    <sheetView view="pageBreakPreview" topLeftCell="A10" zoomScale="90" zoomScaleSheetLayoutView="90" workbookViewId="0">
      <selection activeCell="P14" sqref="P14"/>
    </sheetView>
  </sheetViews>
  <sheetFormatPr defaultRowHeight="15"/>
  <cols>
    <col min="1" max="1" width="4.28515625" customWidth="1"/>
    <col min="2" max="2" width="8" customWidth="1"/>
    <col min="6" max="6" width="5.140625" customWidth="1"/>
    <col min="7" max="7" width="9" customWidth="1"/>
    <col min="8" max="8" width="7.7109375" customWidth="1"/>
    <col min="9" max="9" width="7.5703125" customWidth="1"/>
    <col min="10" max="10" width="16" customWidth="1"/>
    <col min="11" max="11" width="15.28515625" customWidth="1"/>
    <col min="12" max="12" width="16.28515625" customWidth="1"/>
    <col min="13" max="13" width="19" customWidth="1"/>
    <col min="14" max="14" width="20" customWidth="1"/>
    <col min="15" max="15" width="16.85546875" customWidth="1"/>
    <col min="17" max="17" width="23.42578125" customWidth="1"/>
  </cols>
  <sheetData>
    <row r="1" spans="1:15">
      <c r="A1" s="1161" t="s">
        <v>0</v>
      </c>
      <c r="B1" s="1162"/>
      <c r="C1" s="1162"/>
      <c r="D1" s="1162"/>
      <c r="E1" s="1162"/>
      <c r="F1" s="1162"/>
      <c r="G1" s="1162"/>
      <c r="H1" s="1162"/>
      <c r="I1" s="1205" t="s">
        <v>1</v>
      </c>
      <c r="J1" s="1206"/>
      <c r="K1" s="1206"/>
      <c r="L1" s="1206"/>
      <c r="M1" s="1206"/>
      <c r="N1" s="1207"/>
    </row>
    <row r="2" spans="1:15">
      <c r="A2" s="1164" t="s">
        <v>47</v>
      </c>
      <c r="B2" s="1165"/>
      <c r="C2" s="1165"/>
      <c r="D2" s="1165"/>
      <c r="E2" s="1165"/>
      <c r="F2" s="1165"/>
      <c r="G2" s="1165"/>
      <c r="H2" s="1165"/>
      <c r="I2" s="1208" t="s">
        <v>48</v>
      </c>
      <c r="J2" s="1209"/>
      <c r="K2" s="1209"/>
      <c r="L2" s="1209"/>
      <c r="M2" s="1209"/>
      <c r="N2" s="1210"/>
    </row>
    <row r="3" spans="1:15">
      <c r="A3" s="1211" t="s">
        <v>4</v>
      </c>
      <c r="B3" s="1212"/>
      <c r="C3" s="1212"/>
      <c r="D3" s="1212"/>
      <c r="E3" s="1212"/>
      <c r="F3" s="1212"/>
      <c r="G3" s="1212"/>
      <c r="H3" s="1213"/>
      <c r="I3" s="1208" t="s">
        <v>49</v>
      </c>
      <c r="J3" s="1209"/>
      <c r="K3" s="1209"/>
      <c r="L3" s="1209"/>
      <c r="M3" s="1209"/>
      <c r="N3" s="1210"/>
    </row>
    <row r="4" spans="1:15">
      <c r="A4" s="1195" t="s">
        <v>922</v>
      </c>
      <c r="B4" s="1196"/>
      <c r="C4" s="1196"/>
      <c r="D4" s="1196"/>
      <c r="E4" s="1196"/>
      <c r="F4" s="1196"/>
      <c r="G4" s="1196"/>
      <c r="H4" s="1197"/>
      <c r="I4" s="205"/>
      <c r="J4" s="206"/>
      <c r="K4" s="206"/>
      <c r="L4" s="206"/>
      <c r="M4" s="206"/>
      <c r="N4" s="1005"/>
    </row>
    <row r="5" spans="1:15">
      <c r="A5" s="150" t="s">
        <v>5</v>
      </c>
      <c r="B5" s="151"/>
      <c r="C5" s="151"/>
      <c r="D5" s="151"/>
      <c r="E5" s="151" t="s">
        <v>6</v>
      </c>
      <c r="F5" s="151" t="s">
        <v>559</v>
      </c>
      <c r="G5" s="151"/>
      <c r="H5" s="1204" t="s">
        <v>1045</v>
      </c>
      <c r="I5" s="1204"/>
      <c r="J5" s="1204"/>
      <c r="K5" s="151"/>
      <c r="L5" s="151"/>
      <c r="M5" s="151"/>
      <c r="N5" s="152"/>
    </row>
    <row r="6" spans="1:15">
      <c r="A6" s="150" t="s">
        <v>9</v>
      </c>
      <c r="B6" s="151"/>
      <c r="C6" s="151"/>
      <c r="D6" s="151"/>
      <c r="E6" s="151" t="s">
        <v>6</v>
      </c>
      <c r="F6" s="151" t="s">
        <v>652</v>
      </c>
      <c r="G6" s="151"/>
      <c r="H6" s="1249" t="s">
        <v>11</v>
      </c>
      <c r="I6" s="1249"/>
      <c r="J6" s="1249"/>
      <c r="K6" s="151"/>
      <c r="L6" s="151"/>
      <c r="M6" s="151"/>
      <c r="N6" s="152"/>
    </row>
    <row r="7" spans="1:15">
      <c r="A7" s="1045" t="s">
        <v>50</v>
      </c>
      <c r="B7" s="1046"/>
      <c r="C7" s="1046"/>
      <c r="D7" s="1046"/>
      <c r="E7" s="1046"/>
      <c r="F7" s="1046"/>
      <c r="G7" s="1046"/>
      <c r="H7" s="1046"/>
      <c r="I7" s="1046"/>
      <c r="J7" s="1046"/>
      <c r="K7" s="1046"/>
      <c r="L7" s="1046"/>
      <c r="M7" s="1046"/>
      <c r="N7" s="1047"/>
    </row>
    <row r="8" spans="1:15">
      <c r="A8" s="1048" t="s">
        <v>51</v>
      </c>
      <c r="B8" s="1049"/>
      <c r="C8" s="1049"/>
      <c r="D8" s="1049"/>
      <c r="E8" s="1049"/>
      <c r="F8" s="1049"/>
      <c r="G8" s="1049"/>
      <c r="H8" s="1049"/>
      <c r="I8" s="1049"/>
      <c r="J8" s="1049"/>
      <c r="K8" s="1049"/>
      <c r="L8" s="1049"/>
      <c r="M8" s="1049"/>
      <c r="N8" s="1050"/>
    </row>
    <row r="9" spans="1:15">
      <c r="A9" s="1051" t="s">
        <v>52</v>
      </c>
      <c r="B9" s="1052"/>
      <c r="C9" s="1053" t="s">
        <v>14</v>
      </c>
      <c r="D9" s="1040"/>
      <c r="E9" s="1040"/>
      <c r="F9" s="1041"/>
      <c r="G9" s="163" t="s">
        <v>53</v>
      </c>
      <c r="H9" s="163" t="s">
        <v>54</v>
      </c>
      <c r="I9" s="163" t="s">
        <v>55</v>
      </c>
      <c r="J9" s="1054" t="s">
        <v>56</v>
      </c>
      <c r="K9" s="1055"/>
      <c r="L9" s="1055"/>
      <c r="M9" s="1052"/>
      <c r="N9" s="218" t="s">
        <v>15</v>
      </c>
    </row>
    <row r="10" spans="1:15">
      <c r="A10" s="219" t="s">
        <v>57</v>
      </c>
      <c r="B10" s="163" t="s">
        <v>58</v>
      </c>
      <c r="C10" s="155"/>
      <c r="D10" s="151"/>
      <c r="E10" s="151"/>
      <c r="F10" s="156"/>
      <c r="G10" s="165"/>
      <c r="H10" s="166" t="s">
        <v>59</v>
      </c>
      <c r="I10" s="166" t="s">
        <v>60</v>
      </c>
      <c r="J10" s="1006" t="s">
        <v>32</v>
      </c>
      <c r="K10" s="1008" t="s">
        <v>33</v>
      </c>
      <c r="L10" s="1006" t="s">
        <v>34</v>
      </c>
      <c r="M10" s="1006" t="s">
        <v>35</v>
      </c>
      <c r="N10" s="220" t="s">
        <v>61</v>
      </c>
    </row>
    <row r="11" spans="1:15">
      <c r="A11" s="221"/>
      <c r="B11" s="167"/>
      <c r="C11" s="161"/>
      <c r="D11" s="154"/>
      <c r="E11" s="154"/>
      <c r="F11" s="162"/>
      <c r="G11" s="167"/>
      <c r="H11" s="167" t="s">
        <v>62</v>
      </c>
      <c r="I11" s="167"/>
      <c r="J11" s="161"/>
      <c r="K11" s="161"/>
      <c r="L11" s="161"/>
      <c r="M11" s="161"/>
      <c r="N11" s="222"/>
    </row>
    <row r="12" spans="1:15">
      <c r="A12" s="223">
        <v>1</v>
      </c>
      <c r="B12" s="1007">
        <v>2</v>
      </c>
      <c r="C12" s="1054">
        <v>3</v>
      </c>
      <c r="D12" s="1055"/>
      <c r="E12" s="1055"/>
      <c r="F12" s="1052"/>
      <c r="G12" s="168">
        <v>4</v>
      </c>
      <c r="H12" s="1007">
        <v>5</v>
      </c>
      <c r="I12" s="168">
        <v>6</v>
      </c>
      <c r="J12" s="1007">
        <v>7</v>
      </c>
      <c r="K12" s="168">
        <v>8</v>
      </c>
      <c r="L12" s="1007">
        <v>9</v>
      </c>
      <c r="M12" s="168">
        <v>10</v>
      </c>
      <c r="N12" s="224">
        <v>11</v>
      </c>
    </row>
    <row r="13" spans="1:15" ht="12.75" customHeight="1">
      <c r="A13" s="150"/>
      <c r="B13" s="164"/>
      <c r="C13" s="151"/>
      <c r="D13" s="151"/>
      <c r="E13" s="151"/>
      <c r="F13" s="151"/>
      <c r="G13" s="164"/>
      <c r="H13" s="151"/>
      <c r="I13" s="164"/>
      <c r="J13" s="151"/>
      <c r="K13" s="165"/>
      <c r="L13" s="151"/>
      <c r="M13" s="165"/>
      <c r="N13" s="152"/>
    </row>
    <row r="14" spans="1:15" ht="27" customHeight="1">
      <c r="A14" s="904"/>
      <c r="B14" s="342"/>
      <c r="C14" s="1071" t="s">
        <v>658</v>
      </c>
      <c r="D14" s="1072"/>
      <c r="E14" s="1072"/>
      <c r="F14" s="1073"/>
      <c r="G14" s="365"/>
      <c r="H14" s="366"/>
      <c r="I14" s="367"/>
      <c r="J14" s="1019">
        <f>SUM(J15:J16)</f>
        <v>0</v>
      </c>
      <c r="K14" s="1019">
        <f>SUM(K15:K16)</f>
        <v>580000000</v>
      </c>
      <c r="L14" s="1019">
        <f>L15+L16</f>
        <v>0</v>
      </c>
      <c r="M14" s="1019">
        <f>SUM(M15:M16)</f>
        <v>0</v>
      </c>
      <c r="N14" s="1020">
        <f>J14+K14+L14+M14</f>
        <v>580000000</v>
      </c>
      <c r="O14" s="78"/>
    </row>
    <row r="15" spans="1:15" ht="23.25" customHeight="1">
      <c r="A15" s="221"/>
      <c r="B15" s="342" t="s">
        <v>1063</v>
      </c>
      <c r="C15" s="1229" t="s">
        <v>1064</v>
      </c>
      <c r="D15" s="1230"/>
      <c r="E15" s="1230"/>
      <c r="F15" s="1231"/>
      <c r="G15" s="902" t="s">
        <v>67</v>
      </c>
      <c r="H15" s="174">
        <v>1</v>
      </c>
      <c r="I15" s="175" t="s">
        <v>68</v>
      </c>
      <c r="J15" s="1021">
        <v>0</v>
      </c>
      <c r="K15" s="1021">
        <v>500000000</v>
      </c>
      <c r="L15" s="1021">
        <v>0</v>
      </c>
      <c r="M15" s="1021">
        <v>0</v>
      </c>
      <c r="N15" s="1022">
        <f>J15+K15+L15+M15</f>
        <v>500000000</v>
      </c>
      <c r="O15" s="78"/>
    </row>
    <row r="16" spans="1:15" ht="19.5" customHeight="1">
      <c r="A16" s="221"/>
      <c r="B16" s="342" t="s">
        <v>1065</v>
      </c>
      <c r="C16" s="1226" t="s">
        <v>1066</v>
      </c>
      <c r="D16" s="1227"/>
      <c r="E16" s="1227"/>
      <c r="F16" s="1228"/>
      <c r="G16" s="902" t="s">
        <v>67</v>
      </c>
      <c r="H16" s="174">
        <v>1</v>
      </c>
      <c r="I16" s="175" t="s">
        <v>68</v>
      </c>
      <c r="J16" s="1021">
        <v>0</v>
      </c>
      <c r="K16" s="1021">
        <v>80000000</v>
      </c>
      <c r="L16" s="1021">
        <v>0</v>
      </c>
      <c r="M16" s="1021">
        <v>0</v>
      </c>
      <c r="N16" s="1022">
        <f>J16+K16+L16+M16</f>
        <v>80000000</v>
      </c>
      <c r="O16" s="78"/>
    </row>
    <row r="17" spans="1:15" ht="35.25" customHeight="1">
      <c r="A17" s="906"/>
      <c r="B17" s="169"/>
      <c r="C17" s="1071" t="s">
        <v>1079</v>
      </c>
      <c r="D17" s="1072"/>
      <c r="E17" s="1072"/>
      <c r="F17" s="1073"/>
      <c r="G17" s="171"/>
      <c r="H17" s="172"/>
      <c r="I17" s="175"/>
      <c r="J17" s="1023">
        <f>J18+J19</f>
        <v>50000000</v>
      </c>
      <c r="K17" s="1023">
        <f>K18+K19</f>
        <v>75000000</v>
      </c>
      <c r="L17" s="1023">
        <f>L18+L19</f>
        <v>50000000</v>
      </c>
      <c r="M17" s="1023">
        <f>M18+M19</f>
        <v>25000000</v>
      </c>
      <c r="N17" s="1024">
        <f>50000000+75000000+50000000+25000000</f>
        <v>200000000</v>
      </c>
      <c r="O17" s="78"/>
    </row>
    <row r="18" spans="1:15" ht="23.25" customHeight="1">
      <c r="A18" s="180"/>
      <c r="B18" s="499">
        <v>16.14</v>
      </c>
      <c r="C18" s="1229" t="s">
        <v>1080</v>
      </c>
      <c r="D18" s="1230"/>
      <c r="E18" s="1230"/>
      <c r="F18" s="1231"/>
      <c r="G18" s="902" t="s">
        <v>67</v>
      </c>
      <c r="H18" s="174">
        <v>1</v>
      </c>
      <c r="I18" s="175" t="s">
        <v>68</v>
      </c>
      <c r="J18" s="1025">
        <v>25000000</v>
      </c>
      <c r="K18" s="1025">
        <v>25000000</v>
      </c>
      <c r="L18" s="1025">
        <v>25000000</v>
      </c>
      <c r="M18" s="1025">
        <v>25000000</v>
      </c>
      <c r="N18" s="1026">
        <f t="shared" ref="N18:N30" si="0">J18+K18+L18+M18</f>
        <v>100000000</v>
      </c>
      <c r="O18" s="78"/>
    </row>
    <row r="19" spans="1:15" ht="26.25" customHeight="1">
      <c r="A19" s="180"/>
      <c r="B19" s="499">
        <v>16.149999999999999</v>
      </c>
      <c r="C19" s="1229" t="s">
        <v>1081</v>
      </c>
      <c r="D19" s="1230"/>
      <c r="E19" s="1230"/>
      <c r="F19" s="1231"/>
      <c r="G19" s="902" t="s">
        <v>67</v>
      </c>
      <c r="H19" s="174">
        <v>1</v>
      </c>
      <c r="I19" s="175" t="s">
        <v>68</v>
      </c>
      <c r="J19" s="1025">
        <v>25000000</v>
      </c>
      <c r="K19" s="1025">
        <v>50000000</v>
      </c>
      <c r="L19" s="1025">
        <v>25000000</v>
      </c>
      <c r="M19" s="1025">
        <v>0</v>
      </c>
      <c r="N19" s="1026">
        <f t="shared" si="0"/>
        <v>100000000</v>
      </c>
      <c r="O19" s="78"/>
    </row>
    <row r="20" spans="1:15" ht="29.25" customHeight="1">
      <c r="A20" s="907"/>
      <c r="B20" s="169"/>
      <c r="C20" s="1240" t="s">
        <v>1084</v>
      </c>
      <c r="D20" s="1241"/>
      <c r="E20" s="1241"/>
      <c r="F20" s="1242"/>
      <c r="G20" s="902"/>
      <c r="H20" s="174"/>
      <c r="I20" s="175"/>
      <c r="J20" s="1023">
        <f>SUM(J21:J24)</f>
        <v>52000000</v>
      </c>
      <c r="K20" s="1023">
        <f>SUM(K21:K24)</f>
        <v>450000000</v>
      </c>
      <c r="L20" s="1023">
        <f>SUM(L21:L24)</f>
        <v>1067000000</v>
      </c>
      <c r="M20" s="1023">
        <f>SUM(M21:M24)</f>
        <v>98000000</v>
      </c>
      <c r="N20" s="1024">
        <f t="shared" si="0"/>
        <v>1667000000</v>
      </c>
      <c r="O20" s="78"/>
    </row>
    <row r="21" spans="1:15" ht="29.25" customHeight="1">
      <c r="A21" s="180"/>
      <c r="B21" s="499">
        <v>17.010000000000002</v>
      </c>
      <c r="C21" s="1226" t="s">
        <v>1085</v>
      </c>
      <c r="D21" s="1227"/>
      <c r="E21" s="1227"/>
      <c r="F21" s="1228"/>
      <c r="G21" s="902" t="s">
        <v>67</v>
      </c>
      <c r="H21" s="174">
        <v>1</v>
      </c>
      <c r="I21" s="175" t="s">
        <v>68</v>
      </c>
      <c r="J21" s="1027">
        <v>50000000</v>
      </c>
      <c r="K21" s="1027">
        <v>350000000</v>
      </c>
      <c r="L21" s="1027">
        <v>50000000</v>
      </c>
      <c r="M21" s="1027">
        <v>50000000</v>
      </c>
      <c r="N21" s="1028">
        <f t="shared" si="0"/>
        <v>500000000</v>
      </c>
      <c r="O21" s="78"/>
    </row>
    <row r="22" spans="1:15" ht="29.25" customHeight="1">
      <c r="A22" s="180"/>
      <c r="B22" s="499">
        <v>17.09</v>
      </c>
      <c r="C22" s="1226" t="s">
        <v>1086</v>
      </c>
      <c r="D22" s="1227"/>
      <c r="E22" s="1227"/>
      <c r="F22" s="1228"/>
      <c r="G22" s="902" t="s">
        <v>67</v>
      </c>
      <c r="H22" s="174">
        <v>1</v>
      </c>
      <c r="I22" s="175" t="s">
        <v>68</v>
      </c>
      <c r="J22" s="1027">
        <v>2000000</v>
      </c>
      <c r="K22" s="1027">
        <v>0</v>
      </c>
      <c r="L22" s="1027">
        <v>0</v>
      </c>
      <c r="M22" s="1027">
        <v>48000000</v>
      </c>
      <c r="N22" s="1028">
        <f t="shared" si="0"/>
        <v>50000000</v>
      </c>
      <c r="O22" s="78"/>
    </row>
    <row r="23" spans="1:15" ht="57.75" customHeight="1">
      <c r="A23" s="180"/>
      <c r="B23" s="910">
        <v>17.100000000000001</v>
      </c>
      <c r="C23" s="1226" t="s">
        <v>1087</v>
      </c>
      <c r="D23" s="1227"/>
      <c r="E23" s="1227"/>
      <c r="F23" s="1228"/>
      <c r="G23" s="902" t="s">
        <v>67</v>
      </c>
      <c r="H23" s="174">
        <v>1</v>
      </c>
      <c r="I23" s="175" t="s">
        <v>68</v>
      </c>
      <c r="J23" s="1027">
        <v>0</v>
      </c>
      <c r="K23" s="1027">
        <v>100000000</v>
      </c>
      <c r="L23" s="1027">
        <v>0</v>
      </c>
      <c r="M23" s="1027">
        <v>0</v>
      </c>
      <c r="N23" s="1028">
        <f t="shared" si="0"/>
        <v>100000000</v>
      </c>
      <c r="O23" s="78"/>
    </row>
    <row r="24" spans="1:15" ht="24.75" customHeight="1">
      <c r="A24" s="180"/>
      <c r="B24" s="499">
        <v>17.12</v>
      </c>
      <c r="C24" s="1226" t="s">
        <v>1088</v>
      </c>
      <c r="D24" s="1227"/>
      <c r="E24" s="1227"/>
      <c r="F24" s="1228"/>
      <c r="G24" s="902" t="s">
        <v>67</v>
      </c>
      <c r="H24" s="174">
        <v>1</v>
      </c>
      <c r="I24" s="175" t="s">
        <v>68</v>
      </c>
      <c r="J24" s="1027">
        <v>0</v>
      </c>
      <c r="K24" s="1027">
        <v>0</v>
      </c>
      <c r="L24" s="1027">
        <v>1017000000</v>
      </c>
      <c r="M24" s="1027">
        <v>0</v>
      </c>
      <c r="N24" s="1028">
        <f t="shared" si="0"/>
        <v>1017000000</v>
      </c>
      <c r="O24" s="78"/>
    </row>
    <row r="25" spans="1:15" ht="24" customHeight="1">
      <c r="A25" s="906"/>
      <c r="B25" s="169"/>
      <c r="C25" s="1246" t="s">
        <v>518</v>
      </c>
      <c r="D25" s="1247"/>
      <c r="E25" s="1247"/>
      <c r="F25" s="1248"/>
      <c r="G25" s="902"/>
      <c r="H25" s="174"/>
      <c r="I25" s="175"/>
      <c r="J25" s="1023">
        <f>SUM(J26:J28)</f>
        <v>200000000</v>
      </c>
      <c r="K25" s="1023">
        <f>SUM(K26:K28)</f>
        <v>100000000</v>
      </c>
      <c r="L25" s="1023">
        <f>SUM(L26:L28)</f>
        <v>0</v>
      </c>
      <c r="M25" s="1023">
        <f>SUM(M26:M28)</f>
        <v>0</v>
      </c>
      <c r="N25" s="1024">
        <f t="shared" si="0"/>
        <v>300000000</v>
      </c>
      <c r="O25" s="78"/>
    </row>
    <row r="26" spans="1:15" ht="50.25" customHeight="1">
      <c r="A26" s="180"/>
      <c r="B26" s="499">
        <v>18.11</v>
      </c>
      <c r="C26" s="1226" t="s">
        <v>1089</v>
      </c>
      <c r="D26" s="1227"/>
      <c r="E26" s="1227"/>
      <c r="F26" s="1228"/>
      <c r="G26" s="902" t="s">
        <v>67</v>
      </c>
      <c r="H26" s="174">
        <v>1</v>
      </c>
      <c r="I26" s="175" t="s">
        <v>68</v>
      </c>
      <c r="J26" s="1027">
        <v>0</v>
      </c>
      <c r="K26" s="1027">
        <v>50000000</v>
      </c>
      <c r="L26" s="1027"/>
      <c r="M26" s="1027"/>
      <c r="N26" s="1028">
        <f t="shared" si="0"/>
        <v>50000000</v>
      </c>
      <c r="O26" s="78"/>
    </row>
    <row r="27" spans="1:15" ht="32.25" customHeight="1">
      <c r="A27" s="180"/>
      <c r="B27" s="499">
        <v>18.12</v>
      </c>
      <c r="C27" s="1226" t="s">
        <v>1090</v>
      </c>
      <c r="D27" s="1227"/>
      <c r="E27" s="1227"/>
      <c r="F27" s="1228"/>
      <c r="G27" s="902" t="s">
        <v>67</v>
      </c>
      <c r="H27" s="174">
        <v>1</v>
      </c>
      <c r="I27" s="175" t="s">
        <v>68</v>
      </c>
      <c r="J27" s="1027">
        <v>0</v>
      </c>
      <c r="K27" s="1027">
        <v>50000000</v>
      </c>
      <c r="L27" s="1027">
        <v>0</v>
      </c>
      <c r="M27" s="1027">
        <v>0</v>
      </c>
      <c r="N27" s="1028">
        <f t="shared" si="0"/>
        <v>50000000</v>
      </c>
      <c r="O27" s="78"/>
    </row>
    <row r="28" spans="1:15" ht="28.5" customHeight="1">
      <c r="A28" s="180"/>
      <c r="B28" s="499">
        <v>18.13</v>
      </c>
      <c r="C28" s="1226" t="s">
        <v>1091</v>
      </c>
      <c r="D28" s="1227"/>
      <c r="E28" s="1227"/>
      <c r="F28" s="1228"/>
      <c r="G28" s="902" t="s">
        <v>67</v>
      </c>
      <c r="H28" s="174">
        <v>1</v>
      </c>
      <c r="I28" s="175" t="s">
        <v>68</v>
      </c>
      <c r="J28" s="1027">
        <v>200000000</v>
      </c>
      <c r="K28" s="1027">
        <v>0</v>
      </c>
      <c r="L28" s="1027">
        <v>0</v>
      </c>
      <c r="M28" s="1027">
        <v>0</v>
      </c>
      <c r="N28" s="1028">
        <f t="shared" si="0"/>
        <v>200000000</v>
      </c>
      <c r="O28" s="78"/>
    </row>
    <row r="29" spans="1:15" ht="29.25" customHeight="1">
      <c r="A29" s="906"/>
      <c r="B29" s="169"/>
      <c r="C29" s="1240" t="s">
        <v>1092</v>
      </c>
      <c r="D29" s="1241"/>
      <c r="E29" s="1241"/>
      <c r="F29" s="1242"/>
      <c r="G29" s="171"/>
      <c r="H29" s="172"/>
      <c r="I29" s="175"/>
      <c r="J29" s="1023">
        <f>J30</f>
        <v>20000000</v>
      </c>
      <c r="K29" s="1023">
        <f>K30</f>
        <v>20000000</v>
      </c>
      <c r="L29" s="1023">
        <f>L30</f>
        <v>5000000</v>
      </c>
      <c r="M29" s="1023">
        <f>M30</f>
        <v>5000000</v>
      </c>
      <c r="N29" s="1024">
        <f t="shared" si="0"/>
        <v>50000000</v>
      </c>
      <c r="O29" s="78"/>
    </row>
    <row r="30" spans="1:15" ht="29.25" customHeight="1">
      <c r="A30" s="180"/>
      <c r="B30" s="499">
        <v>18.05</v>
      </c>
      <c r="C30" s="1226" t="s">
        <v>1093</v>
      </c>
      <c r="D30" s="1227"/>
      <c r="E30" s="1227"/>
      <c r="F30" s="1228"/>
      <c r="G30" s="902" t="s">
        <v>67</v>
      </c>
      <c r="H30" s="174">
        <v>1</v>
      </c>
      <c r="I30" s="175" t="s">
        <v>68</v>
      </c>
      <c r="J30" s="1027">
        <v>20000000</v>
      </c>
      <c r="K30" s="1027">
        <v>20000000</v>
      </c>
      <c r="L30" s="1027">
        <v>5000000</v>
      </c>
      <c r="M30" s="1027">
        <v>5000000</v>
      </c>
      <c r="N30" s="1028">
        <f t="shared" si="0"/>
        <v>50000000</v>
      </c>
      <c r="O30" s="78"/>
    </row>
    <row r="31" spans="1:15" ht="21" customHeight="1">
      <c r="A31" s="180"/>
      <c r="B31" s="171"/>
      <c r="C31" s="1054"/>
      <c r="D31" s="1055"/>
      <c r="E31" s="1055"/>
      <c r="F31" s="1052"/>
      <c r="G31" s="171"/>
      <c r="H31" s="171"/>
      <c r="I31" s="171"/>
      <c r="J31" s="171"/>
      <c r="K31" s="171"/>
      <c r="L31" s="171"/>
      <c r="M31" s="171"/>
      <c r="N31" s="181"/>
    </row>
    <row r="32" spans="1:15" ht="30.75" customHeight="1">
      <c r="A32" s="182"/>
      <c r="B32" s="183"/>
      <c r="C32" s="183"/>
      <c r="D32" s="183"/>
      <c r="E32" s="183"/>
      <c r="F32" s="183"/>
      <c r="G32" s="183"/>
      <c r="H32" s="183"/>
      <c r="I32" s="184"/>
      <c r="J32" s="185">
        <f>J17+J20+J25+J29</f>
        <v>322000000</v>
      </c>
      <c r="K32" s="185">
        <f>K14+K17+K20+K25+K29</f>
        <v>1225000000</v>
      </c>
      <c r="L32" s="185">
        <f>L17+L20+L29</f>
        <v>1122000000</v>
      </c>
      <c r="M32" s="185">
        <f>M17+M20+M29</f>
        <v>128000000</v>
      </c>
      <c r="N32" s="944">
        <f>N14+N17+N20+N25+N29</f>
        <v>2797000000</v>
      </c>
      <c r="O32" s="78"/>
    </row>
  </sheetData>
  <mergeCells count="33">
    <mergeCell ref="A1:H1"/>
    <mergeCell ref="I1:N1"/>
    <mergeCell ref="A2:H2"/>
    <mergeCell ref="I2:N2"/>
    <mergeCell ref="A3:H3"/>
    <mergeCell ref="I3:N3"/>
    <mergeCell ref="C12:F12"/>
    <mergeCell ref="A4:H4"/>
    <mergeCell ref="H5:J5"/>
    <mergeCell ref="H6:J6"/>
    <mergeCell ref="A7:N7"/>
    <mergeCell ref="A8:N8"/>
    <mergeCell ref="A9:B9"/>
    <mergeCell ref="C9:F9"/>
    <mergeCell ref="J9:M9"/>
    <mergeCell ref="C17:F17"/>
    <mergeCell ref="C18:F18"/>
    <mergeCell ref="C19:F19"/>
    <mergeCell ref="C14:F14"/>
    <mergeCell ref="C15:F15"/>
    <mergeCell ref="C16:F16"/>
    <mergeCell ref="C31:F31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</mergeCells>
  <printOptions horizontalCentered="1"/>
  <pageMargins left="0.11" right="0.27" top="0.511811023622047" bottom="0.511811023622047" header="0.31496062992126" footer="0.31496062992126"/>
  <pageSetup paperSize="256" scale="65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67"/>
  <sheetViews>
    <sheetView workbookViewId="0">
      <selection activeCell="T17" sqref="T17:U17"/>
    </sheetView>
  </sheetViews>
  <sheetFormatPr defaultRowHeight="15"/>
  <cols>
    <col min="1" max="1" width="2.85546875" customWidth="1"/>
    <col min="2" max="2" width="4.140625" customWidth="1"/>
    <col min="3" max="3" width="3.42578125" customWidth="1"/>
    <col min="4" max="4" width="3.5703125" customWidth="1"/>
    <col min="5" max="5" width="2.5703125" customWidth="1"/>
    <col min="6" max="6" width="3.140625" customWidth="1"/>
    <col min="7" max="7" width="3.28515625" customWidth="1"/>
    <col min="8" max="8" width="0.5703125" customWidth="1"/>
    <col min="9" max="9" width="2.42578125" customWidth="1"/>
    <col min="10" max="10" width="2" customWidth="1"/>
    <col min="12" max="12" width="6.42578125" customWidth="1"/>
    <col min="13" max="13" width="14.85546875" customWidth="1"/>
    <col min="14" max="14" width="9.42578125" customWidth="1"/>
    <col min="15" max="16" width="7.85546875" customWidth="1"/>
    <col min="17" max="17" width="7.140625" customWidth="1"/>
    <col min="18" max="18" width="8.42578125" customWidth="1"/>
    <col min="19" max="19" width="4.7109375" customWidth="1"/>
    <col min="20" max="20" width="9.5703125" customWidth="1"/>
    <col min="21" max="21" width="8.5703125" customWidth="1"/>
    <col min="22" max="22" width="8.28515625" customWidth="1"/>
    <col min="25" max="25" width="18.42578125" customWidth="1"/>
  </cols>
  <sheetData>
    <row r="1" spans="1:22">
      <c r="A1" s="1161" t="s">
        <v>892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3"/>
      <c r="U1" s="1167" t="s">
        <v>1</v>
      </c>
      <c r="V1" s="1168"/>
    </row>
    <row r="2" spans="1:22">
      <c r="A2" s="1164"/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165"/>
      <c r="R2" s="1165"/>
      <c r="S2" s="1165"/>
      <c r="T2" s="1166"/>
      <c r="U2" s="195"/>
      <c r="V2" s="2"/>
    </row>
    <row r="3" spans="1:22">
      <c r="A3" s="1169" t="s">
        <v>2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  <c r="N3" s="1170"/>
      <c r="O3" s="1170"/>
      <c r="P3" s="1170"/>
      <c r="Q3" s="1170"/>
      <c r="R3" s="1170"/>
      <c r="S3" s="1170"/>
      <c r="T3" s="1171"/>
      <c r="U3" s="1147" t="s">
        <v>916</v>
      </c>
      <c r="V3" s="1149"/>
    </row>
    <row r="4" spans="1:22">
      <c r="A4" s="1172"/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3"/>
      <c r="P4" s="1173"/>
      <c r="Q4" s="1173"/>
      <c r="R4" s="1173"/>
      <c r="S4" s="1173"/>
      <c r="T4" s="1174"/>
      <c r="U4" s="3"/>
      <c r="V4" s="4"/>
    </row>
    <row r="5" spans="1:22" ht="15.75">
      <c r="A5" s="1254" t="s">
        <v>893</v>
      </c>
      <c r="B5" s="1255"/>
      <c r="C5" s="1255"/>
      <c r="D5" s="1255"/>
      <c r="E5" s="1255"/>
      <c r="F5" s="1255"/>
      <c r="G5" s="1255"/>
      <c r="H5" s="1255"/>
      <c r="I5" s="1255"/>
      <c r="J5" s="1255"/>
      <c r="K5" s="1255"/>
      <c r="L5" s="1255"/>
      <c r="M5" s="1255"/>
      <c r="N5" s="1255"/>
      <c r="O5" s="1255"/>
      <c r="P5" s="1255"/>
      <c r="Q5" s="1255"/>
      <c r="R5" s="1255"/>
      <c r="S5" s="1255"/>
      <c r="T5" s="1255"/>
      <c r="U5" s="1255"/>
      <c r="V5" s="1256"/>
    </row>
    <row r="6" spans="1:22">
      <c r="A6" s="1257" t="s">
        <v>527</v>
      </c>
      <c r="B6" s="1258"/>
      <c r="C6" s="1258"/>
      <c r="D6" s="1258"/>
      <c r="E6" s="1258"/>
      <c r="F6" s="1258"/>
      <c r="G6" s="1258"/>
      <c r="H6" s="1258"/>
      <c r="I6" s="1258"/>
      <c r="J6" s="1258"/>
      <c r="K6" s="1258"/>
      <c r="L6" s="1258"/>
      <c r="M6" s="1258"/>
      <c r="N6" s="1258"/>
      <c r="O6" s="1258"/>
      <c r="P6" s="1258"/>
      <c r="Q6" s="1258"/>
      <c r="R6" s="1258"/>
      <c r="S6" s="1258"/>
      <c r="T6" s="1258"/>
      <c r="U6" s="1258"/>
      <c r="V6" s="1259"/>
    </row>
    <row r="7" spans="1:22">
      <c r="A7" s="5" t="s">
        <v>895</v>
      </c>
      <c r="B7" s="195"/>
      <c r="C7" s="195"/>
      <c r="D7" s="195"/>
      <c r="E7" s="195"/>
      <c r="F7" s="195"/>
      <c r="G7" s="195"/>
      <c r="H7" s="195"/>
      <c r="I7" s="195" t="s">
        <v>6</v>
      </c>
      <c r="J7" s="195">
        <v>3</v>
      </c>
      <c r="K7" s="195"/>
      <c r="L7" s="195"/>
      <c r="M7" s="195" t="s">
        <v>894</v>
      </c>
      <c r="N7" s="195"/>
      <c r="O7" s="195"/>
      <c r="P7" s="195"/>
      <c r="Q7" s="195"/>
      <c r="R7" s="195"/>
      <c r="S7" s="195"/>
      <c r="T7" s="195"/>
      <c r="U7" s="195"/>
      <c r="V7" s="2"/>
    </row>
    <row r="8" spans="1:22">
      <c r="A8" s="5" t="s">
        <v>896</v>
      </c>
      <c r="B8" s="195"/>
      <c r="C8" s="195"/>
      <c r="D8" s="195"/>
      <c r="E8" s="195"/>
      <c r="F8" s="195"/>
      <c r="G8" s="195"/>
      <c r="H8" s="195"/>
      <c r="I8" s="195" t="s">
        <v>6</v>
      </c>
      <c r="J8" s="1278">
        <v>3.02</v>
      </c>
      <c r="K8" s="1278"/>
      <c r="L8" s="195"/>
      <c r="M8" s="195" t="s">
        <v>897</v>
      </c>
      <c r="N8" s="195"/>
      <c r="O8" s="195"/>
      <c r="P8" s="195"/>
      <c r="Q8" s="195"/>
      <c r="R8" s="195"/>
      <c r="S8" s="195"/>
      <c r="T8" s="195"/>
      <c r="U8" s="195"/>
      <c r="V8" s="2"/>
    </row>
    <row r="9" spans="1:22">
      <c r="A9" s="5" t="s">
        <v>898</v>
      </c>
      <c r="B9" s="195"/>
      <c r="C9" s="195"/>
      <c r="D9" s="195"/>
      <c r="E9" s="195"/>
      <c r="F9" s="195"/>
      <c r="G9" s="195"/>
      <c r="H9" s="195"/>
      <c r="I9" s="195" t="s">
        <v>6</v>
      </c>
      <c r="J9" s="1278" t="s">
        <v>539</v>
      </c>
      <c r="K9" s="1278"/>
      <c r="L9" s="195"/>
      <c r="M9" s="195" t="s">
        <v>11</v>
      </c>
      <c r="N9" s="195"/>
      <c r="O9" s="195"/>
      <c r="P9" s="195"/>
      <c r="Q9" s="195"/>
      <c r="R9" s="195"/>
      <c r="S9" s="195"/>
      <c r="T9" s="195"/>
      <c r="U9" s="195"/>
      <c r="V9" s="2"/>
    </row>
    <row r="10" spans="1:22">
      <c r="A10" s="5" t="s">
        <v>899</v>
      </c>
      <c r="B10" s="195"/>
      <c r="C10" s="195"/>
      <c r="D10" s="195"/>
      <c r="E10" s="195"/>
      <c r="F10" s="195"/>
      <c r="G10" s="195"/>
      <c r="H10" s="195"/>
      <c r="I10" s="195" t="s">
        <v>6</v>
      </c>
      <c r="J10" s="6" t="s">
        <v>900</v>
      </c>
      <c r="K10" s="6"/>
      <c r="L10" s="195"/>
      <c r="M10" s="195" t="s">
        <v>11</v>
      </c>
      <c r="N10" s="195"/>
      <c r="O10" s="195"/>
      <c r="P10" s="195"/>
      <c r="Q10" s="195"/>
      <c r="R10" s="195"/>
      <c r="S10" s="195"/>
      <c r="T10" s="195"/>
      <c r="U10" s="195"/>
      <c r="V10" s="2"/>
    </row>
    <row r="11" spans="1:22">
      <c r="A11" s="1139" t="s">
        <v>901</v>
      </c>
      <c r="B11" s="1140"/>
      <c r="C11" s="1140"/>
      <c r="D11" s="1140"/>
      <c r="E11" s="1140"/>
      <c r="F11" s="1140"/>
      <c r="G11" s="1140"/>
      <c r="H11" s="1140"/>
      <c r="I11" s="1140"/>
      <c r="J11" s="1140"/>
      <c r="K11" s="1140"/>
      <c r="L11" s="1140"/>
      <c r="M11" s="1140"/>
      <c r="N11" s="1140"/>
      <c r="O11" s="1140"/>
      <c r="P11" s="1140"/>
      <c r="Q11" s="1140"/>
      <c r="R11" s="1140"/>
      <c r="S11" s="1140"/>
      <c r="T11" s="1140"/>
      <c r="U11" s="1140"/>
      <c r="V11" s="1141"/>
    </row>
    <row r="12" spans="1:22">
      <c r="A12" s="1142"/>
      <c r="B12" s="1143"/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3"/>
      <c r="T12" s="1143"/>
      <c r="U12" s="1143"/>
      <c r="V12" s="1144"/>
    </row>
    <row r="13" spans="1:22">
      <c r="A13" s="1145" t="s">
        <v>13</v>
      </c>
      <c r="B13" s="1146"/>
      <c r="C13" s="1146"/>
      <c r="D13" s="1146"/>
      <c r="E13" s="1146"/>
      <c r="F13" s="1146"/>
      <c r="G13" s="1146"/>
      <c r="H13" s="1146"/>
      <c r="I13" s="1146"/>
      <c r="J13" s="1146"/>
      <c r="K13" s="1281" t="s">
        <v>14</v>
      </c>
      <c r="L13" s="1282"/>
      <c r="M13" s="1283"/>
      <c r="N13" s="1153" t="s">
        <v>903</v>
      </c>
      <c r="O13" s="1151"/>
      <c r="P13" s="1151"/>
      <c r="Q13" s="1151"/>
      <c r="R13" s="1151"/>
      <c r="S13" s="1152"/>
      <c r="T13" s="1153" t="s">
        <v>906</v>
      </c>
      <c r="U13" s="1151"/>
      <c r="V13" s="1154"/>
    </row>
    <row r="14" spans="1:22">
      <c r="A14" s="1145" t="s">
        <v>16</v>
      </c>
      <c r="B14" s="1146"/>
      <c r="C14" s="1146"/>
      <c r="D14" s="1146"/>
      <c r="E14" s="1146"/>
      <c r="F14" s="1146"/>
      <c r="G14" s="1146"/>
      <c r="H14" s="1146"/>
      <c r="I14" s="1146"/>
      <c r="J14" s="1146"/>
      <c r="K14" s="1284"/>
      <c r="L14" s="1285"/>
      <c r="M14" s="1286"/>
      <c r="N14" s="1153" t="s">
        <v>904</v>
      </c>
      <c r="O14" s="1151"/>
      <c r="P14" s="1152"/>
      <c r="Q14" s="1153" t="s">
        <v>905</v>
      </c>
      <c r="R14" s="1151"/>
      <c r="S14" s="1152"/>
      <c r="T14" s="1153" t="s">
        <v>61</v>
      </c>
      <c r="U14" s="1152"/>
      <c r="V14" s="489" t="s">
        <v>847</v>
      </c>
    </row>
    <row r="15" spans="1:22">
      <c r="A15" s="1150">
        <v>1</v>
      </c>
      <c r="B15" s="1151"/>
      <c r="C15" s="1151"/>
      <c r="D15" s="1151"/>
      <c r="E15" s="1151"/>
      <c r="F15" s="1151"/>
      <c r="G15" s="1151"/>
      <c r="H15" s="1151"/>
      <c r="I15" s="1151"/>
      <c r="J15" s="1152"/>
      <c r="K15" s="1153">
        <v>2</v>
      </c>
      <c r="L15" s="1151"/>
      <c r="M15" s="1152"/>
      <c r="N15" s="1153">
        <v>3</v>
      </c>
      <c r="O15" s="1151"/>
      <c r="P15" s="1152"/>
      <c r="Q15" s="1153">
        <v>4</v>
      </c>
      <c r="R15" s="1151"/>
      <c r="S15" s="1152"/>
      <c r="T15" s="1153">
        <v>5</v>
      </c>
      <c r="U15" s="1152"/>
      <c r="V15" s="490">
        <v>6</v>
      </c>
    </row>
    <row r="16" spans="1:22">
      <c r="A16" s="1155"/>
      <c r="B16" s="1156"/>
      <c r="C16" s="1156"/>
      <c r="D16" s="1156"/>
      <c r="E16" s="1156"/>
      <c r="F16" s="1156"/>
      <c r="G16" s="1156"/>
      <c r="H16" s="1156"/>
      <c r="I16" s="1156"/>
      <c r="J16" s="1157"/>
      <c r="K16" s="10"/>
      <c r="L16" s="11"/>
      <c r="M16" s="11"/>
      <c r="N16" s="10"/>
      <c r="O16" s="11"/>
      <c r="P16" s="18"/>
      <c r="Q16" s="11"/>
      <c r="R16" s="12"/>
      <c r="S16" s="12"/>
      <c r="T16" s="508"/>
      <c r="U16" s="510"/>
      <c r="V16" s="509"/>
    </row>
    <row r="17" spans="1:25">
      <c r="A17" s="13" t="s">
        <v>540</v>
      </c>
      <c r="B17" s="14"/>
      <c r="C17" s="15"/>
      <c r="D17" s="14"/>
      <c r="E17" s="14"/>
      <c r="F17" s="15"/>
      <c r="G17" s="15"/>
      <c r="H17" s="15"/>
      <c r="I17" s="16"/>
      <c r="J17" s="17"/>
      <c r="K17" s="211" t="s">
        <v>541</v>
      </c>
      <c r="L17" s="11"/>
      <c r="M17" s="11"/>
      <c r="N17" s="1262">
        <f>N18</f>
        <v>3713000000</v>
      </c>
      <c r="O17" s="1264"/>
      <c r="P17" s="1263"/>
      <c r="Q17" s="1262">
        <f>Q18</f>
        <v>3713000000</v>
      </c>
      <c r="R17" s="1264"/>
      <c r="S17" s="1263"/>
      <c r="T17" s="1279" t="s">
        <v>907</v>
      </c>
      <c r="U17" s="1280"/>
      <c r="V17" s="511" t="s">
        <v>907</v>
      </c>
    </row>
    <row r="18" spans="1:25">
      <c r="A18" s="13" t="s">
        <v>542</v>
      </c>
      <c r="B18" s="14"/>
      <c r="C18" s="15"/>
      <c r="D18" s="14"/>
      <c r="E18" s="14"/>
      <c r="F18" s="15"/>
      <c r="G18" s="15"/>
      <c r="H18" s="15"/>
      <c r="I18" s="16"/>
      <c r="J18" s="17"/>
      <c r="K18" s="211" t="s">
        <v>543</v>
      </c>
      <c r="L18" s="11"/>
      <c r="M18" s="11"/>
      <c r="N18" s="1262">
        <f>N19</f>
        <v>3713000000</v>
      </c>
      <c r="O18" s="1100"/>
      <c r="P18" s="1118"/>
      <c r="Q18" s="1262">
        <f>Q19</f>
        <v>3713000000</v>
      </c>
      <c r="R18" s="1100"/>
      <c r="S18" s="1118"/>
      <c r="T18" s="1136" t="str">
        <f>T17</f>
        <v>0.00</v>
      </c>
      <c r="U18" s="1280"/>
      <c r="V18" s="511" t="s">
        <v>907</v>
      </c>
    </row>
    <row r="19" spans="1:25">
      <c r="A19" s="13" t="s">
        <v>544</v>
      </c>
      <c r="B19" s="14"/>
      <c r="C19" s="15"/>
      <c r="D19" s="14"/>
      <c r="E19" s="14"/>
      <c r="F19" s="15"/>
      <c r="G19" s="15"/>
      <c r="H19" s="15"/>
      <c r="I19" s="16"/>
      <c r="J19" s="17"/>
      <c r="K19" s="10" t="s">
        <v>545</v>
      </c>
      <c r="L19" s="11"/>
      <c r="M19" s="11"/>
      <c r="N19" s="1262">
        <v>3713000000</v>
      </c>
      <c r="O19" s="1100"/>
      <c r="P19" s="1118"/>
      <c r="Q19" s="1262">
        <v>3713000000</v>
      </c>
      <c r="R19" s="1100"/>
      <c r="S19" s="1118"/>
      <c r="T19" s="1111" t="str">
        <f>T18</f>
        <v>0.00</v>
      </c>
      <c r="U19" s="1112"/>
      <c r="V19" s="511" t="s">
        <v>907</v>
      </c>
    </row>
    <row r="20" spans="1:25">
      <c r="A20" s="13"/>
      <c r="B20" s="14"/>
      <c r="C20" s="15"/>
      <c r="D20" s="14"/>
      <c r="E20" s="14"/>
      <c r="F20" s="15"/>
      <c r="G20" s="15"/>
      <c r="H20" s="15"/>
      <c r="I20" s="16"/>
      <c r="J20" s="17"/>
      <c r="K20" s="10"/>
      <c r="L20" s="11"/>
      <c r="M20" s="11"/>
      <c r="N20" s="1262"/>
      <c r="O20" s="1100"/>
      <c r="P20" s="1118"/>
      <c r="Q20" s="1117"/>
      <c r="R20" s="1100"/>
      <c r="S20" s="1118"/>
      <c r="T20" s="494"/>
      <c r="U20" s="496"/>
      <c r="V20" s="495"/>
    </row>
    <row r="21" spans="1:25">
      <c r="A21" s="1109" t="s">
        <v>548</v>
      </c>
      <c r="B21" s="1105"/>
      <c r="C21" s="1105"/>
      <c r="D21" s="1105"/>
      <c r="E21" s="1105"/>
      <c r="F21" s="1105"/>
      <c r="G21" s="1105"/>
      <c r="H21" s="1105"/>
      <c r="I21" s="1105"/>
      <c r="J21" s="1110"/>
      <c r="K21" s="211" t="s">
        <v>551</v>
      </c>
      <c r="L21" s="11"/>
      <c r="M21" s="11"/>
      <c r="N21" s="1262">
        <f>N23+N26</f>
        <v>14235629000</v>
      </c>
      <c r="O21" s="1264"/>
      <c r="P21" s="1263"/>
      <c r="Q21" s="1262">
        <f>Q23+Q26</f>
        <v>12171738468</v>
      </c>
      <c r="R21" s="1264"/>
      <c r="S21" s="1263"/>
      <c r="T21" s="1260">
        <f>Q21-N21</f>
        <v>-2063890532</v>
      </c>
      <c r="U21" s="1261"/>
      <c r="V21" s="506">
        <f>T21/N21*100</f>
        <v>-14.498063499688001</v>
      </c>
    </row>
    <row r="22" spans="1:25">
      <c r="A22" s="491"/>
      <c r="B22" s="492"/>
      <c r="C22" s="492"/>
      <c r="D22" s="492"/>
      <c r="E22" s="492"/>
      <c r="F22" s="492"/>
      <c r="G22" s="492"/>
      <c r="H22" s="492"/>
      <c r="I22" s="492"/>
      <c r="J22" s="493"/>
      <c r="K22" s="211"/>
      <c r="L22" s="11"/>
      <c r="M22" s="11"/>
      <c r="N22" s="1262"/>
      <c r="O22" s="1264"/>
      <c r="P22" s="1263"/>
      <c r="Q22" s="1262"/>
      <c r="R22" s="1264"/>
      <c r="S22" s="1263"/>
      <c r="T22" s="512"/>
      <c r="U22" s="513"/>
      <c r="V22" s="506"/>
    </row>
    <row r="23" spans="1:25">
      <c r="A23" s="1109" t="s">
        <v>549</v>
      </c>
      <c r="B23" s="1105"/>
      <c r="C23" s="1105"/>
      <c r="D23" s="1105"/>
      <c r="E23" s="1105"/>
      <c r="F23" s="1105"/>
      <c r="G23" s="1105"/>
      <c r="H23" s="1105"/>
      <c r="I23" s="1105"/>
      <c r="J23" s="1110"/>
      <c r="K23" s="211" t="s">
        <v>20</v>
      </c>
      <c r="L23" s="212"/>
      <c r="M23" s="212"/>
      <c r="N23" s="1262">
        <f>N24</f>
        <v>3731019000</v>
      </c>
      <c r="O23" s="1264"/>
      <c r="P23" s="1263"/>
      <c r="Q23" s="1262">
        <f>Q24</f>
        <v>4355194168</v>
      </c>
      <c r="R23" s="1264"/>
      <c r="S23" s="1263"/>
      <c r="T23" s="1260">
        <f>N23-Q23</f>
        <v>-624175168</v>
      </c>
      <c r="U23" s="1261"/>
      <c r="V23" s="506">
        <f t="shared" ref="V23:V30" si="0">T23/N23*100</f>
        <v>-16.72934841661219</v>
      </c>
    </row>
    <row r="24" spans="1:25">
      <c r="A24" s="1109" t="s">
        <v>550</v>
      </c>
      <c r="B24" s="1105"/>
      <c r="C24" s="1105"/>
      <c r="D24" s="1105"/>
      <c r="E24" s="1105"/>
      <c r="F24" s="1105"/>
      <c r="G24" s="1105"/>
      <c r="H24" s="1105"/>
      <c r="I24" s="1105"/>
      <c r="J24" s="1110"/>
      <c r="K24" s="10" t="s">
        <v>22</v>
      </c>
      <c r="L24" s="11"/>
      <c r="M24" s="11"/>
      <c r="N24" s="1262">
        <v>3731019000</v>
      </c>
      <c r="O24" s="1264"/>
      <c r="P24" s="1263"/>
      <c r="Q24" s="1262">
        <v>4355194168</v>
      </c>
      <c r="R24" s="1264"/>
      <c r="S24" s="1263"/>
      <c r="T24" s="1260">
        <f>N24-Q24</f>
        <v>-624175168</v>
      </c>
      <c r="U24" s="1261"/>
      <c r="V24" s="506">
        <f t="shared" si="0"/>
        <v>-16.72934841661219</v>
      </c>
    </row>
    <row r="25" spans="1:25">
      <c r="A25" s="13"/>
      <c r="B25" s="11"/>
      <c r="C25" s="11"/>
      <c r="D25" s="11"/>
      <c r="E25" s="11"/>
      <c r="F25" s="11"/>
      <c r="G25" s="11"/>
      <c r="H25" s="11"/>
      <c r="I25" s="11"/>
      <c r="J25" s="18"/>
      <c r="K25" s="19"/>
      <c r="L25" s="11"/>
      <c r="M25" s="11"/>
      <c r="N25" s="1262"/>
      <c r="O25" s="1264"/>
      <c r="P25" s="1263"/>
      <c r="Q25" s="1262"/>
      <c r="R25" s="1264"/>
      <c r="S25" s="1263"/>
      <c r="T25" s="514"/>
      <c r="U25" s="515"/>
      <c r="V25" s="506"/>
    </row>
    <row r="26" spans="1:25">
      <c r="A26" s="1109" t="s">
        <v>552</v>
      </c>
      <c r="B26" s="1105"/>
      <c r="C26" s="1105"/>
      <c r="D26" s="1105"/>
      <c r="E26" s="1105"/>
      <c r="F26" s="1105"/>
      <c r="G26" s="1105"/>
      <c r="H26" s="1105"/>
      <c r="I26" s="1105"/>
      <c r="J26" s="1110"/>
      <c r="K26" s="211" t="s">
        <v>23</v>
      </c>
      <c r="L26" s="11"/>
      <c r="M26" s="11"/>
      <c r="N26" s="1262">
        <f>SUM(N27:P30)</f>
        <v>10504610000</v>
      </c>
      <c r="O26" s="1264"/>
      <c r="P26" s="1263"/>
      <c r="Q26" s="1262">
        <f>SUM(Q28:S30)</f>
        <v>7816544300</v>
      </c>
      <c r="R26" s="1264"/>
      <c r="S26" s="1263"/>
      <c r="T26" s="1260">
        <f>T28+T29+T30</f>
        <v>-2688065700</v>
      </c>
      <c r="U26" s="1261"/>
      <c r="V26" s="506">
        <f t="shared" si="0"/>
        <v>-25.58939075320264</v>
      </c>
    </row>
    <row r="27" spans="1:25">
      <c r="A27" s="491"/>
      <c r="B27" s="492"/>
      <c r="C27" s="492"/>
      <c r="D27" s="492"/>
      <c r="E27" s="492"/>
      <c r="F27" s="492"/>
      <c r="G27" s="492"/>
      <c r="H27" s="492"/>
      <c r="I27" s="492"/>
      <c r="J27" s="493"/>
      <c r="K27" s="211"/>
      <c r="L27" s="11"/>
      <c r="M27" s="11"/>
      <c r="N27" s="1262"/>
      <c r="O27" s="1264"/>
      <c r="P27" s="1263"/>
      <c r="Q27" s="1262"/>
      <c r="R27" s="1264"/>
      <c r="S27" s="1263"/>
      <c r="T27" s="512"/>
      <c r="U27" s="513"/>
      <c r="V27" s="506"/>
    </row>
    <row r="28" spans="1:25">
      <c r="A28" s="1109" t="s">
        <v>767</v>
      </c>
      <c r="B28" s="1105"/>
      <c r="C28" s="1105"/>
      <c r="D28" s="1105"/>
      <c r="E28" s="1105"/>
      <c r="F28" s="1105"/>
      <c r="G28" s="1105"/>
      <c r="H28" s="1105"/>
      <c r="I28" s="1105"/>
      <c r="J28" s="1110"/>
      <c r="K28" s="10" t="s">
        <v>22</v>
      </c>
      <c r="L28" s="11"/>
      <c r="M28" s="11"/>
      <c r="N28" s="1262">
        <v>129665000</v>
      </c>
      <c r="O28" s="1264"/>
      <c r="P28" s="1263"/>
      <c r="Q28" s="1262">
        <v>184340000</v>
      </c>
      <c r="R28" s="1264"/>
      <c r="S28" s="1263"/>
      <c r="T28" s="1262">
        <f>Q28-N28</f>
        <v>54675000</v>
      </c>
      <c r="U28" s="1263"/>
      <c r="V28" s="506">
        <f t="shared" si="0"/>
        <v>42.166351752593222</v>
      </c>
      <c r="Y28" s="79"/>
    </row>
    <row r="29" spans="1:25">
      <c r="A29" s="1109" t="s">
        <v>553</v>
      </c>
      <c r="B29" s="1105"/>
      <c r="C29" s="1105"/>
      <c r="D29" s="1105"/>
      <c r="E29" s="1105"/>
      <c r="F29" s="1105"/>
      <c r="G29" s="1105"/>
      <c r="H29" s="1105"/>
      <c r="I29" s="1105"/>
      <c r="J29" s="1110"/>
      <c r="K29" s="10" t="s">
        <v>24</v>
      </c>
      <c r="L29" s="11"/>
      <c r="M29" s="11"/>
      <c r="N29" s="1262">
        <v>2847250000</v>
      </c>
      <c r="O29" s="1264"/>
      <c r="P29" s="1263"/>
      <c r="Q29" s="1262">
        <v>5124804300</v>
      </c>
      <c r="R29" s="1264"/>
      <c r="S29" s="1263"/>
      <c r="T29" s="1262">
        <f>Q29-N29</f>
        <v>2277554300</v>
      </c>
      <c r="U29" s="1263"/>
      <c r="V29" s="506">
        <f t="shared" si="0"/>
        <v>79.991370620774433</v>
      </c>
    </row>
    <row r="30" spans="1:25">
      <c r="A30" s="1109" t="s">
        <v>25</v>
      </c>
      <c r="B30" s="1105"/>
      <c r="C30" s="1105"/>
      <c r="D30" s="1105"/>
      <c r="E30" s="1105"/>
      <c r="F30" s="1105"/>
      <c r="G30" s="1105"/>
      <c r="H30" s="1105"/>
      <c r="I30" s="1105"/>
      <c r="J30" s="1110"/>
      <c r="K30" s="10" t="s">
        <v>26</v>
      </c>
      <c r="L30" s="11"/>
      <c r="M30" s="11"/>
      <c r="N30" s="1262">
        <v>7527695000</v>
      </c>
      <c r="O30" s="1264"/>
      <c r="P30" s="1263"/>
      <c r="Q30" s="1262">
        <v>2507400000</v>
      </c>
      <c r="R30" s="1264"/>
      <c r="S30" s="1263"/>
      <c r="T30" s="1113">
        <f>Q30-N30</f>
        <v>-5020295000</v>
      </c>
      <c r="U30" s="1119"/>
      <c r="V30" s="506">
        <f t="shared" si="0"/>
        <v>-66.690999037553993</v>
      </c>
      <c r="Y30" s="79"/>
    </row>
    <row r="31" spans="1:25">
      <c r="A31" s="13"/>
      <c r="B31" s="14"/>
      <c r="C31" s="15"/>
      <c r="D31" s="14"/>
      <c r="E31" s="14"/>
      <c r="F31" s="15"/>
      <c r="G31" s="15"/>
      <c r="H31" s="15"/>
      <c r="I31" s="16"/>
      <c r="J31" s="17"/>
      <c r="K31" s="10"/>
      <c r="L31" s="11"/>
      <c r="M31" s="11"/>
      <c r="N31" s="1262"/>
      <c r="O31" s="1264"/>
      <c r="P31" s="1263"/>
      <c r="Q31" s="1262"/>
      <c r="R31" s="1264"/>
      <c r="S31" s="1263"/>
      <c r="T31" s="1262"/>
      <c r="U31" s="1263"/>
      <c r="V31" s="507"/>
      <c r="Y31" s="79"/>
    </row>
    <row r="32" spans="1:25">
      <c r="A32" s="13"/>
      <c r="B32" s="11"/>
      <c r="C32" s="11"/>
      <c r="D32" s="11"/>
      <c r="E32" s="11"/>
      <c r="F32" s="11"/>
      <c r="G32" s="11"/>
      <c r="H32" s="11"/>
      <c r="I32" s="11"/>
      <c r="J32" s="18"/>
      <c r="K32" s="10"/>
      <c r="L32" s="1100" t="s">
        <v>902</v>
      </c>
      <c r="M32" s="1118"/>
      <c r="N32" s="1270">
        <f>N17-N21</f>
        <v>-10522629000</v>
      </c>
      <c r="O32" s="1271"/>
      <c r="P32" s="1272"/>
      <c r="Q32" s="1273">
        <f>Q17-Q21</f>
        <v>-8458738468</v>
      </c>
      <c r="R32" s="1274"/>
      <c r="S32" s="1275"/>
      <c r="T32" s="1276" t="e">
        <f>T17-T21</f>
        <v>#VALUE!</v>
      </c>
      <c r="U32" s="1277"/>
      <c r="V32" s="516" t="e">
        <f>T32/N32*100</f>
        <v>#VALUE!</v>
      </c>
    </row>
    <row r="33" spans="1:25">
      <c r="A33" s="21"/>
      <c r="B33" s="22"/>
      <c r="C33" s="22"/>
      <c r="D33" s="22"/>
      <c r="E33" s="22"/>
      <c r="F33" s="22"/>
      <c r="G33" s="22"/>
      <c r="H33" s="22"/>
      <c r="I33" s="22"/>
      <c r="J33" s="23"/>
      <c r="K33" s="24"/>
      <c r="L33" s="22"/>
      <c r="M33" s="22"/>
      <c r="N33" s="1268"/>
      <c r="O33" s="1134"/>
      <c r="P33" s="1269"/>
      <c r="Q33" s="1268"/>
      <c r="R33" s="1134"/>
      <c r="S33" s="1269"/>
      <c r="T33" s="518"/>
      <c r="U33" s="519"/>
      <c r="V33" s="520"/>
    </row>
    <row r="34" spans="1:25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517"/>
      <c r="O34" s="517"/>
      <c r="P34" s="517"/>
      <c r="Q34" s="517"/>
      <c r="R34" s="517"/>
      <c r="S34" s="517"/>
      <c r="T34" s="521"/>
      <c r="U34" s="521"/>
      <c r="V34" s="521"/>
    </row>
    <row r="35" spans="1:25" ht="15.75" thickBo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5">
      <c r="A36" s="1265" t="s">
        <v>908</v>
      </c>
      <c r="B36" s="1266"/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7"/>
    </row>
    <row r="37" spans="1:25">
      <c r="A37" s="1133"/>
      <c r="B37" s="1134"/>
      <c r="C37" s="1134"/>
      <c r="D37" s="1134"/>
      <c r="E37" s="1134"/>
      <c r="F37" s="1134"/>
      <c r="G37" s="1134"/>
      <c r="H37" s="1134"/>
      <c r="I37" s="1134"/>
      <c r="J37" s="1134"/>
      <c r="K37" s="1134"/>
      <c r="L37" s="1134"/>
      <c r="M37" s="1134"/>
      <c r="N37" s="1134"/>
      <c r="O37" s="1134"/>
      <c r="P37" s="1134"/>
      <c r="Q37" s="1134"/>
      <c r="R37" s="1134"/>
      <c r="S37" s="1134"/>
      <c r="T37" s="1134"/>
      <c r="U37" s="1134"/>
      <c r="V37" s="1135"/>
    </row>
    <row r="38" spans="1:25">
      <c r="A38" s="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20"/>
    </row>
    <row r="39" spans="1:25">
      <c r="A39" s="1123" t="s">
        <v>30</v>
      </c>
      <c r="B39" s="1124"/>
      <c r="C39" s="1124"/>
      <c r="D39" s="1124"/>
      <c r="E39" s="1124"/>
      <c r="F39" s="1124"/>
      <c r="G39" s="1124"/>
      <c r="H39" s="1125"/>
      <c r="I39" s="1126" t="s">
        <v>14</v>
      </c>
      <c r="J39" s="1124"/>
      <c r="K39" s="1124"/>
      <c r="L39" s="1125"/>
      <c r="M39" s="1115" t="s">
        <v>31</v>
      </c>
      <c r="N39" s="1122"/>
      <c r="O39" s="1122"/>
      <c r="P39" s="1122"/>
      <c r="Q39" s="1122"/>
      <c r="R39" s="1122"/>
      <c r="S39" s="1122"/>
      <c r="T39" s="1122"/>
      <c r="U39" s="1126" t="s">
        <v>15</v>
      </c>
      <c r="V39" s="1127"/>
    </row>
    <row r="40" spans="1:25">
      <c r="A40" s="21"/>
      <c r="B40" s="22"/>
      <c r="C40" s="22"/>
      <c r="D40" s="22"/>
      <c r="E40" s="22"/>
      <c r="F40" s="22"/>
      <c r="G40" s="22"/>
      <c r="H40" s="23"/>
      <c r="I40" s="24"/>
      <c r="J40" s="22"/>
      <c r="K40" s="22"/>
      <c r="L40" s="23"/>
      <c r="M40" s="1115" t="s">
        <v>32</v>
      </c>
      <c r="N40" s="1120"/>
      <c r="O40" s="1115" t="s">
        <v>33</v>
      </c>
      <c r="P40" s="1120"/>
      <c r="Q40" s="1115" t="s">
        <v>34</v>
      </c>
      <c r="R40" s="1120"/>
      <c r="S40" s="1115" t="s">
        <v>35</v>
      </c>
      <c r="T40" s="1120"/>
      <c r="U40" s="25"/>
      <c r="V40" s="26"/>
    </row>
    <row r="41" spans="1:25">
      <c r="A41" s="1121">
        <v>1</v>
      </c>
      <c r="B41" s="1122"/>
      <c r="C41" s="1122"/>
      <c r="D41" s="1122"/>
      <c r="E41" s="1122"/>
      <c r="F41" s="1122"/>
      <c r="G41" s="1122"/>
      <c r="H41" s="1120"/>
      <c r="I41" s="1122">
        <v>2</v>
      </c>
      <c r="J41" s="1122"/>
      <c r="K41" s="1122"/>
      <c r="L41" s="1120"/>
      <c r="M41" s="1115">
        <v>3</v>
      </c>
      <c r="N41" s="1120"/>
      <c r="O41" s="1115">
        <v>4</v>
      </c>
      <c r="P41" s="1120"/>
      <c r="Q41" s="1115">
        <v>5</v>
      </c>
      <c r="R41" s="1120"/>
      <c r="S41" s="1115">
        <v>6</v>
      </c>
      <c r="T41" s="1120"/>
      <c r="U41" s="1115" t="s">
        <v>36</v>
      </c>
      <c r="V41" s="1116"/>
    </row>
    <row r="42" spans="1:25">
      <c r="A42" s="13"/>
      <c r="B42" s="11"/>
      <c r="C42" s="11"/>
      <c r="D42" s="11"/>
      <c r="E42" s="11"/>
      <c r="F42" s="11"/>
      <c r="G42" s="11"/>
      <c r="H42" s="18"/>
      <c r="I42" s="11"/>
      <c r="J42" s="11"/>
      <c r="K42" s="11"/>
      <c r="L42" s="11"/>
      <c r="M42" s="27"/>
      <c r="N42" s="28"/>
      <c r="O42" s="11"/>
      <c r="P42" s="11"/>
      <c r="Q42" s="27"/>
      <c r="R42" s="28"/>
      <c r="S42" s="11"/>
      <c r="T42" s="11"/>
      <c r="U42" s="10"/>
      <c r="V42" s="20"/>
    </row>
    <row r="43" spans="1:25">
      <c r="A43" s="1109" t="s">
        <v>542</v>
      </c>
      <c r="B43" s="1105"/>
      <c r="C43" s="1105"/>
      <c r="D43" s="1105"/>
      <c r="E43" s="1105"/>
      <c r="F43" s="1105"/>
      <c r="G43" s="1105"/>
      <c r="H43" s="18"/>
      <c r="I43" s="1117" t="s">
        <v>816</v>
      </c>
      <c r="J43" s="1100"/>
      <c r="K43" s="1100"/>
      <c r="L43" s="1118"/>
      <c r="M43" s="1113">
        <v>928250000</v>
      </c>
      <c r="N43" s="1119"/>
      <c r="O43" s="1113">
        <v>928250000</v>
      </c>
      <c r="P43" s="1119"/>
      <c r="Q43" s="1113">
        <v>928250000</v>
      </c>
      <c r="R43" s="1119"/>
      <c r="S43" s="1113">
        <v>928250000</v>
      </c>
      <c r="T43" s="1119"/>
      <c r="U43" s="1113">
        <f>M43+O43+Q43+S43</f>
        <v>3713000000</v>
      </c>
      <c r="V43" s="1114"/>
    </row>
    <row r="44" spans="1:25">
      <c r="A44" s="1109" t="s">
        <v>549</v>
      </c>
      <c r="B44" s="1105"/>
      <c r="C44" s="1105"/>
      <c r="D44" s="1105"/>
      <c r="E44" s="1105"/>
      <c r="F44" s="1105"/>
      <c r="G44" s="1105"/>
      <c r="H44" s="1110"/>
      <c r="I44" s="11" t="s">
        <v>20</v>
      </c>
      <c r="J44" s="11"/>
      <c r="K44" s="11"/>
      <c r="L44" s="11"/>
      <c r="M44" s="1111">
        <v>838090571</v>
      </c>
      <c r="N44" s="1112"/>
      <c r="O44" s="1111">
        <v>1027418929</v>
      </c>
      <c r="P44" s="1112"/>
      <c r="Q44" s="1111">
        <v>1027418929</v>
      </c>
      <c r="R44" s="1112"/>
      <c r="S44" s="1111">
        <v>838090571</v>
      </c>
      <c r="T44" s="1112"/>
      <c r="U44" s="1113">
        <f>M44+O44+Q44+S44</f>
        <v>3731019000</v>
      </c>
      <c r="V44" s="1114"/>
    </row>
    <row r="45" spans="1:25">
      <c r="A45" s="1109" t="s">
        <v>552</v>
      </c>
      <c r="B45" s="1105"/>
      <c r="C45" s="1105"/>
      <c r="D45" s="1105"/>
      <c r="E45" s="1105"/>
      <c r="F45" s="1105"/>
      <c r="G45" s="1105"/>
      <c r="H45" s="1110"/>
      <c r="I45" s="11" t="s">
        <v>37</v>
      </c>
      <c r="J45" s="11"/>
      <c r="K45" s="11"/>
      <c r="L45" s="11"/>
      <c r="M45" s="1111">
        <v>593373000</v>
      </c>
      <c r="N45" s="1112"/>
      <c r="O45" s="1111">
        <f>4649694000-2000000000</f>
        <v>2649694000</v>
      </c>
      <c r="P45" s="1112"/>
      <c r="Q45" s="1111">
        <f>4787121850-2750000000</f>
        <v>2037121850</v>
      </c>
      <c r="R45" s="1112"/>
      <c r="S45" s="1111">
        <f>474421150-250000000</f>
        <v>224421150</v>
      </c>
      <c r="T45" s="1112"/>
      <c r="U45" s="1113">
        <f>M45+O45+Q45+S45</f>
        <v>5504610000</v>
      </c>
      <c r="V45" s="1114"/>
    </row>
    <row r="46" spans="1:25">
      <c r="A46" s="13"/>
      <c r="B46" s="11"/>
      <c r="C46" s="11"/>
      <c r="D46" s="11"/>
      <c r="E46" s="11"/>
      <c r="F46" s="11"/>
      <c r="G46" s="11"/>
      <c r="H46" s="18"/>
      <c r="I46" s="11"/>
      <c r="J46" s="11"/>
      <c r="K46" s="11"/>
      <c r="L46" s="11"/>
      <c r="M46" s="10"/>
      <c r="N46" s="18"/>
      <c r="O46" s="11"/>
      <c r="P46" s="11"/>
      <c r="Q46" s="10"/>
      <c r="R46" s="18"/>
      <c r="S46" s="11"/>
      <c r="T46" s="11"/>
      <c r="U46" s="10"/>
      <c r="V46" s="20"/>
      <c r="Y46" s="79"/>
    </row>
    <row r="47" spans="1:25" ht="15.75" thickBot="1">
      <c r="A47" s="30"/>
      <c r="B47" s="31"/>
      <c r="C47" s="31"/>
      <c r="D47" s="31"/>
      <c r="E47" s="31"/>
      <c r="F47" s="31"/>
      <c r="G47" s="31"/>
      <c r="H47" s="522"/>
      <c r="I47" s="31"/>
      <c r="J47" s="31"/>
      <c r="K47" s="31"/>
      <c r="L47" s="31"/>
      <c r="M47" s="523"/>
      <c r="N47" s="522"/>
      <c r="O47" s="31"/>
      <c r="P47" s="31"/>
      <c r="Q47" s="523"/>
      <c r="R47" s="522"/>
      <c r="S47" s="31"/>
      <c r="T47" s="31"/>
      <c r="U47" s="523"/>
      <c r="V47" s="32"/>
    </row>
    <row r="48" spans="1:25">
      <c r="A48" s="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0"/>
    </row>
    <row r="49" spans="1:22">
      <c r="A49" s="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0"/>
    </row>
    <row r="50" spans="1:22">
      <c r="A50" s="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00" t="s">
        <v>917</v>
      </c>
      <c r="S50" s="1100"/>
      <c r="T50" s="1100"/>
      <c r="U50" s="1100"/>
      <c r="V50" s="1101"/>
    </row>
    <row r="51" spans="1:22">
      <c r="A51" s="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00" t="s">
        <v>38</v>
      </c>
      <c r="S51" s="1100"/>
      <c r="T51" s="1100"/>
      <c r="U51" s="1100"/>
      <c r="V51" s="1101"/>
    </row>
    <row r="52" spans="1:22">
      <c r="A52" s="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00" t="s">
        <v>39</v>
      </c>
      <c r="S52" s="1100"/>
      <c r="T52" s="1100"/>
      <c r="U52" s="1100"/>
      <c r="V52" s="1101"/>
    </row>
    <row r="53" spans="1:22">
      <c r="A53" s="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00" t="s">
        <v>4</v>
      </c>
      <c r="S53" s="1100"/>
      <c r="T53" s="1100"/>
      <c r="U53" s="1100"/>
      <c r="V53" s="1101"/>
    </row>
    <row r="54" spans="1:22">
      <c r="A54" s="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00"/>
      <c r="S54" s="1100"/>
      <c r="T54" s="1100"/>
      <c r="U54" s="1100"/>
      <c r="V54" s="1101"/>
    </row>
    <row r="55" spans="1:22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497"/>
      <c r="S55" s="497"/>
      <c r="T55" s="497"/>
      <c r="U55" s="497"/>
      <c r="V55" s="498"/>
    </row>
    <row r="56" spans="1:22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0"/>
    </row>
    <row r="57" spans="1:22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07" t="s">
        <v>918</v>
      </c>
      <c r="S57" s="1107"/>
      <c r="T57" s="1107"/>
      <c r="U57" s="1107"/>
      <c r="V57" s="1108"/>
    </row>
    <row r="58" spans="1:22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00" t="s">
        <v>41</v>
      </c>
      <c r="S58" s="1100"/>
      <c r="T58" s="1100"/>
      <c r="U58" s="1100"/>
      <c r="V58" s="1101"/>
    </row>
    <row r="59" spans="1:22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00" t="s">
        <v>42</v>
      </c>
      <c r="S59" s="1100"/>
      <c r="T59" s="1100"/>
      <c r="U59" s="1100"/>
      <c r="V59" s="1101"/>
    </row>
    <row r="60" spans="1:22">
      <c r="A60" s="1102" t="s">
        <v>43</v>
      </c>
      <c r="B60" s="1103"/>
      <c r="C60" s="1103"/>
      <c r="D60" s="1103"/>
      <c r="E60" s="1103"/>
      <c r="F60" s="1103"/>
      <c r="G60" s="1103"/>
      <c r="H60" s="1103"/>
      <c r="I60" s="1103"/>
      <c r="J60" s="1103"/>
      <c r="K60" s="1103"/>
      <c r="L60" s="1103"/>
      <c r="M60" s="1103"/>
      <c r="N60" s="1103"/>
      <c r="O60" s="1103"/>
      <c r="P60" s="1103"/>
      <c r="Q60" s="1103"/>
      <c r="R60" s="1103"/>
      <c r="S60" s="1103"/>
      <c r="T60" s="1103"/>
      <c r="U60" s="1103"/>
      <c r="V60" s="1104"/>
    </row>
    <row r="61" spans="1:22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20"/>
    </row>
    <row r="62" spans="1:22">
      <c r="A62" s="13">
        <v>1</v>
      </c>
      <c r="B62" s="11" t="s">
        <v>915</v>
      </c>
      <c r="C62" s="11"/>
      <c r="D62" s="11"/>
      <c r="E62" s="11"/>
      <c r="F62" s="11"/>
      <c r="G62" s="11"/>
      <c r="H62" s="11"/>
      <c r="I62" s="11"/>
      <c r="J62" s="11"/>
      <c r="K62" s="11"/>
      <c r="L62" s="11" t="s">
        <v>555</v>
      </c>
      <c r="M62" s="11"/>
      <c r="N62" s="11"/>
      <c r="O62" s="11"/>
      <c r="P62" s="11"/>
      <c r="Q62" s="11"/>
      <c r="R62" s="11" t="s">
        <v>44</v>
      </c>
      <c r="S62" s="11"/>
      <c r="T62" s="11"/>
      <c r="U62" s="11"/>
      <c r="V62" s="20"/>
    </row>
    <row r="63" spans="1:22">
      <c r="A63" s="13"/>
      <c r="B63" s="11" t="s">
        <v>45</v>
      </c>
      <c r="C63" s="11"/>
      <c r="D63" s="11"/>
      <c r="E63" s="11"/>
      <c r="F63" s="11"/>
      <c r="G63" s="11"/>
      <c r="H63" s="11"/>
      <c r="I63" s="11"/>
      <c r="J63" s="11"/>
      <c r="K63" s="11"/>
      <c r="L63" s="11" t="s">
        <v>556</v>
      </c>
      <c r="M63" s="11"/>
      <c r="N63" s="11"/>
      <c r="O63" s="11"/>
      <c r="P63" s="11"/>
      <c r="Q63" s="11"/>
      <c r="R63" s="11"/>
      <c r="S63" s="11"/>
      <c r="T63" s="11"/>
      <c r="U63" s="11"/>
      <c r="V63" s="20"/>
    </row>
    <row r="64" spans="1:22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20"/>
    </row>
    <row r="65" spans="1:22">
      <c r="A65" s="13">
        <v>2</v>
      </c>
      <c r="B65" s="11" t="s">
        <v>46</v>
      </c>
      <c r="C65" s="11"/>
      <c r="D65" s="11"/>
      <c r="E65" s="11"/>
      <c r="F65" s="11"/>
      <c r="G65" s="11"/>
      <c r="H65" s="11"/>
      <c r="I65" s="11"/>
      <c r="J65" s="11"/>
      <c r="K65" s="11"/>
      <c r="L65" s="1105" t="s">
        <v>849</v>
      </c>
      <c r="M65" s="1105"/>
      <c r="N65" s="1105"/>
      <c r="O65" s="1105"/>
      <c r="P65" s="1105"/>
      <c r="Q65" s="1105"/>
      <c r="R65" s="1105"/>
      <c r="S65" s="11" t="s">
        <v>833</v>
      </c>
      <c r="T65" s="11"/>
      <c r="U65" s="11"/>
      <c r="V65" s="20"/>
    </row>
    <row r="66" spans="1:22">
      <c r="A66" s="13"/>
      <c r="B66" s="11" t="s">
        <v>45</v>
      </c>
      <c r="C66" s="11"/>
      <c r="D66" s="11"/>
      <c r="E66" s="11"/>
      <c r="F66" s="11"/>
      <c r="G66" s="11"/>
      <c r="H66" s="11"/>
      <c r="I66" s="11"/>
      <c r="J66" s="11"/>
      <c r="K66" s="11"/>
      <c r="L66" s="1105" t="s">
        <v>914</v>
      </c>
      <c r="M66" s="1106"/>
      <c r="N66" s="1106"/>
      <c r="O66" s="1106"/>
      <c r="P66" s="1106"/>
      <c r="Q66" s="1106"/>
      <c r="R66" s="1106"/>
      <c r="S66" s="11"/>
      <c r="T66" s="11"/>
      <c r="U66" s="11"/>
      <c r="V66" s="20"/>
    </row>
    <row r="67" spans="1:22" ht="15.75" thickBot="1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2"/>
    </row>
  </sheetData>
  <mergeCells count="125">
    <mergeCell ref="N20:P20"/>
    <mergeCell ref="N22:P22"/>
    <mergeCell ref="N23:P23"/>
    <mergeCell ref="N24:P24"/>
    <mergeCell ref="N25:P25"/>
    <mergeCell ref="Q20:S20"/>
    <mergeCell ref="Q21:S21"/>
    <mergeCell ref="Q22:S22"/>
    <mergeCell ref="Q23:S23"/>
    <mergeCell ref="Q24:S24"/>
    <mergeCell ref="Q25:S25"/>
    <mergeCell ref="Q17:S17"/>
    <mergeCell ref="N18:P18"/>
    <mergeCell ref="Q18:S18"/>
    <mergeCell ref="N19:P19"/>
    <mergeCell ref="Q19:S19"/>
    <mergeCell ref="T14:U14"/>
    <mergeCell ref="K15:M15"/>
    <mergeCell ref="T15:U15"/>
    <mergeCell ref="K13:M14"/>
    <mergeCell ref="R58:V58"/>
    <mergeCell ref="R59:V59"/>
    <mergeCell ref="A60:V60"/>
    <mergeCell ref="L65:R65"/>
    <mergeCell ref="L66:R66"/>
    <mergeCell ref="J8:K8"/>
    <mergeCell ref="J9:K9"/>
    <mergeCell ref="T17:U17"/>
    <mergeCell ref="T18:U18"/>
    <mergeCell ref="T19:U19"/>
    <mergeCell ref="R50:V50"/>
    <mergeCell ref="R51:V51"/>
    <mergeCell ref="R52:V52"/>
    <mergeCell ref="R53:V53"/>
    <mergeCell ref="R54:V54"/>
    <mergeCell ref="A45:H45"/>
    <mergeCell ref="M45:N45"/>
    <mergeCell ref="O45:P45"/>
    <mergeCell ref="Q45:R45"/>
    <mergeCell ref="S45:T45"/>
    <mergeCell ref="U45:V45"/>
    <mergeCell ref="A44:H44"/>
    <mergeCell ref="M44:N44"/>
    <mergeCell ref="N17:P17"/>
    <mergeCell ref="O44:P44"/>
    <mergeCell ref="Q44:R44"/>
    <mergeCell ref="S44:T44"/>
    <mergeCell ref="U44:V44"/>
    <mergeCell ref="U41:V41"/>
    <mergeCell ref="A43:G43"/>
    <mergeCell ref="I43:L43"/>
    <mergeCell ref="M43:N43"/>
    <mergeCell ref="O43:P43"/>
    <mergeCell ref="Q43:R43"/>
    <mergeCell ref="S43:T43"/>
    <mergeCell ref="U43:V43"/>
    <mergeCell ref="M40:N40"/>
    <mergeCell ref="O40:P40"/>
    <mergeCell ref="Q40:R40"/>
    <mergeCell ref="S40:T40"/>
    <mergeCell ref="A41:H41"/>
    <mergeCell ref="I41:L41"/>
    <mergeCell ref="M41:N41"/>
    <mergeCell ref="O41:P41"/>
    <mergeCell ref="Q41:R41"/>
    <mergeCell ref="S41:T41"/>
    <mergeCell ref="A36:V36"/>
    <mergeCell ref="A37:V37"/>
    <mergeCell ref="A39:H39"/>
    <mergeCell ref="I39:L39"/>
    <mergeCell ref="M39:T39"/>
    <mergeCell ref="U39:V39"/>
    <mergeCell ref="N33:P33"/>
    <mergeCell ref="A29:J29"/>
    <mergeCell ref="A30:J30"/>
    <mergeCell ref="T29:U29"/>
    <mergeCell ref="T30:U30"/>
    <mergeCell ref="N29:P29"/>
    <mergeCell ref="N30:P30"/>
    <mergeCell ref="N32:P32"/>
    <mergeCell ref="N31:P31"/>
    <mergeCell ref="Q32:S32"/>
    <mergeCell ref="Q33:S33"/>
    <mergeCell ref="T32:U32"/>
    <mergeCell ref="T31:U31"/>
    <mergeCell ref="Q29:S29"/>
    <mergeCell ref="Q30:S30"/>
    <mergeCell ref="Q31:S31"/>
    <mergeCell ref="L32:M32"/>
    <mergeCell ref="T28:U28"/>
    <mergeCell ref="A21:J21"/>
    <mergeCell ref="A23:J23"/>
    <mergeCell ref="T21:U21"/>
    <mergeCell ref="T23:U23"/>
    <mergeCell ref="N21:P21"/>
    <mergeCell ref="N26:P26"/>
    <mergeCell ref="N27:P27"/>
    <mergeCell ref="N28:P28"/>
    <mergeCell ref="Q26:S26"/>
    <mergeCell ref="Q27:S27"/>
    <mergeCell ref="Q28:S28"/>
    <mergeCell ref="R57:V57"/>
    <mergeCell ref="A1:T2"/>
    <mergeCell ref="U1:V1"/>
    <mergeCell ref="A3:T4"/>
    <mergeCell ref="U3:V3"/>
    <mergeCell ref="A5:V5"/>
    <mergeCell ref="A6:V6"/>
    <mergeCell ref="A15:J15"/>
    <mergeCell ref="A16:J16"/>
    <mergeCell ref="N15:P15"/>
    <mergeCell ref="Q15:S15"/>
    <mergeCell ref="A11:V11"/>
    <mergeCell ref="A12:V12"/>
    <mergeCell ref="A13:J13"/>
    <mergeCell ref="T13:V13"/>
    <mergeCell ref="A14:J14"/>
    <mergeCell ref="N14:P14"/>
    <mergeCell ref="Q14:S14"/>
    <mergeCell ref="N13:S13"/>
    <mergeCell ref="A24:J24"/>
    <mergeCell ref="A26:J26"/>
    <mergeCell ref="A28:J28"/>
    <mergeCell ref="T24:U24"/>
    <mergeCell ref="T26:U26"/>
  </mergeCells>
  <printOptions horizontalCentered="1"/>
  <pageMargins left="0.83" right="0.183070866" top="0.70866141732283505" bottom="0.70866141732283505" header="0.31496062992126" footer="0.31496062992126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9</vt:i4>
      </vt:variant>
    </vt:vector>
  </HeadingPairs>
  <TitlesOfParts>
    <vt:vector size="44" baseType="lpstr">
      <vt:lpstr>REKAP KNTR (2)krgi 5 M</vt:lpstr>
      <vt:lpstr>rekap i krgi 5 M</vt:lpstr>
      <vt:lpstr>rekap i</vt:lpstr>
      <vt:lpstr>REKAP KNTR</vt:lpstr>
      <vt:lpstr>REKAP Non Rutin</vt:lpstr>
      <vt:lpstr>rekap 2018</vt:lpstr>
      <vt:lpstr>REKAP Dinas 2018 krim Dedek</vt:lpstr>
      <vt:lpstr>REKAP Dinas bid.budaya 18</vt:lpstr>
      <vt:lpstr>REKAP TTD P.SEKDA</vt:lpstr>
      <vt:lpstr>REKAP DINAS PERUBHN 17</vt:lpstr>
      <vt:lpstr>REKAP DINAS PERUBHN 18</vt:lpstr>
      <vt:lpstr>rekap II Dinas 17</vt:lpstr>
      <vt:lpstr>gaji kantor</vt:lpstr>
      <vt:lpstr>materai</vt:lpstr>
      <vt:lpstr>listrik</vt:lpstr>
      <vt:lpstr>Keu</vt:lpstr>
      <vt:lpstr>ATK</vt:lpstr>
      <vt:lpstr>Cetak</vt:lpstr>
      <vt:lpstr>elektr </vt:lpstr>
      <vt:lpstr>kebersihan</vt:lpstr>
      <vt:lpstr>Koran</vt:lpstr>
      <vt:lpstr>makan&amp;snack</vt:lpstr>
      <vt:lpstr>Per Luar Daerah</vt:lpstr>
      <vt:lpstr>Perj dlm daerah</vt:lpstr>
      <vt:lpstr>lembur</vt:lpstr>
      <vt:lpstr>gaji pnjg mlm</vt:lpstr>
      <vt:lpstr>cat Rutin</vt:lpstr>
      <vt:lpstr>kendrn</vt:lpstr>
      <vt:lpstr>komputer</vt:lpstr>
      <vt:lpstr>Meja Kursi</vt:lpstr>
      <vt:lpstr>Sheet1</vt:lpstr>
      <vt:lpstr>gaji kontrak</vt:lpstr>
      <vt:lpstr>gaji kontrak 2</vt:lpstr>
      <vt:lpstr>Pendptn</vt:lpstr>
      <vt:lpstr>rekap 3</vt:lpstr>
      <vt:lpstr>'cat Rutin'!Print_Area</vt:lpstr>
      <vt:lpstr>lembur!Print_Area</vt:lpstr>
      <vt:lpstr>'REKAP Dinas 2018 krim Dedek'!Print_Area</vt:lpstr>
      <vt:lpstr>'REKAP Dinas bid.budaya 18'!Print_Area</vt:lpstr>
      <vt:lpstr>'REKAP DINAS PERUBHN 17'!Print_Area</vt:lpstr>
      <vt:lpstr>'REKAP DINAS PERUBHN 18'!Print_Area</vt:lpstr>
      <vt:lpstr>'REKAP KNTR'!Print_Area</vt:lpstr>
      <vt:lpstr>'REKAP KNTR (2)krgi 5 M'!Print_Area</vt:lpstr>
      <vt:lpstr>'REKAP Non Rutin'!Print_Area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spies</dc:creator>
  <cp:lastModifiedBy>DELL</cp:lastModifiedBy>
  <cp:lastPrinted>2018-05-07T01:38:10Z</cp:lastPrinted>
  <dcterms:created xsi:type="dcterms:W3CDTF">2015-01-24T13:34:48Z</dcterms:created>
  <dcterms:modified xsi:type="dcterms:W3CDTF">2018-07-09T05:00:59Z</dcterms:modified>
</cp:coreProperties>
</file>